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zQrKuYBCeaLWdX8N/ViHh3d8S56vlw/uJrpYne/ReU2xtgNMBwuRx0svtQiYu0hiHvW15sWIvcFHVus0TKFyjg==" workbookSaltValue="x3AdbDWaNXCante2eFiU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L16" i="11" l="1"/>
  <c r="C16" i="6"/>
  <c r="S19" i="8"/>
  <c r="BD15" i="13"/>
  <c r="AB13" i="21"/>
  <c r="AB19" i="21" s="1"/>
  <c r="BE15"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BK18" i="11" s="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F13" i="8"/>
  <c r="BE13" i="8"/>
  <c r="AL13" i="11"/>
  <c r="B13" i="6"/>
  <c r="BU21" i="17"/>
  <c r="P16" i="11"/>
  <c r="BV18" i="16"/>
  <c r="Q15" i="11"/>
  <c r="P17" i="11"/>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<sst xmlns="http://schemas.openxmlformats.org/spreadsheetml/2006/main" count="2102" uniqueCount="918">
  <si>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</si>
  <si>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</si>
  <si>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</si>
  <si>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</si>
  <si>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</si>
  <si>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</si>
  <si>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</si>
  <si>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</si>
  <si>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</si>
  <si>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</si>
  <si>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</si>
  <si>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</si>
  <si>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</si>
  <si>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</si>
  <si>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</si>
  <si>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</si>
  <si>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</si>
  <si>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</si>
  <si>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</si>
  <si>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</si>
  <si>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</si>
  <si>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</si>
  <si>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</si>
  <si>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</si>
  <si>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</si>
  <si>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</si>
  <si>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</si>
  <si>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</si>
  <si>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</si>
  <si>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</si>
  <si>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</si>
  <si>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</si>
  <si>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</si>
  <si>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</si>
  <si>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</si>
  <si>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</si>
  <si>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</si>
  <si>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</si>
  <si>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</si>
  <si>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</si>
  <si>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</si>
  <si>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</si>
  <si>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</si>
  <si>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</si>
  <si>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</si>
  <si>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</si>
  <si>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</si>
  <si>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</si>
  <si>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</si>
  <si>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</si>
  <si>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</si>
  <si>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</si>
  <si>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</si>
  <si>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</si>
  <si>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</si>
  <si>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</si>
  <si>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</si>
  <si>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</si>
  <si>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</si>
  <si>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</si>
  <si>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</si>
  <si>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</si>
  <si>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</si>
  <si>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</si>
  <si>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</si>
  <si>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</si>
  <si>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</si>
  <si>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</si>
  <si>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</si>
  <si>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</si>
  <si>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</si>
  <si>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</si>
  <si>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</si>
  <si>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</si>
  <si>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</si>
  <si>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</si>
  <si>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</si>
  <si>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</si>
  <si>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</si>
  <si>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</si>
  <si>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</si>
  <si>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</si>
  <si>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</si>
  <si>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</si>
  <si>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</si>
  <si>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</si>
  <si>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</si>
  <si>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</si>
  <si>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</si>
  <si>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</si>
  <si>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</si>
  <si>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</si>
  <si>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</si>
  <si>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</si>
  <si>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</si>
  <si>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</si>
  <si>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</si>
  <si>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</si>
  <si>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</si>
  <si>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</si>
  <si>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</si>
  <si>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</si>
  <si>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</si>
  <si>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</si>
  <si>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</si>
  <si>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</si>
  <si>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</si>
  <si>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</si>
  <si>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</si>
  <si>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</si>
  <si>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</si>
  <si>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</si>
  <si>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</si>
  <si>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</si>
  <si>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</si>
  <si>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</si>
  <si>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</si>
  <si>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</si>
  <si>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</si>
  <si>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</si>
  <si>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</si>
  <si>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</si>
  <si>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</si>
  <si>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</si>
  <si>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</si>
  <si>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</si>
  <si>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</si>
  <si>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</si>
  <si>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</si>
  <si>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</si>
  <si>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</si>
  <si>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</si>
  <si>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</si>
  <si>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</si>
  <si>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</si>
  <si>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</si>
  <si>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</si>
  <si>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</si>
  <si>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</si>
  <si>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</si>
  <si>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</si>
  <si>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</si>
  <si>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</si>
  <si>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</si>
  <si>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</si>
  <si>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</si>
  <si>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</si>
  <si>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</si>
  <si>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</si>
  <si>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</si>
  <si>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</si>
  <si>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</si>
  <si>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</si>
  <si>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</si>
  <si>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</si>
  <si>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</si>
  <si>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</si>
  <si>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</si>
  <si>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</si>
  <si>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</si>
  <si>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</si>
  <si>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</si>
  <si>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</si>
  <si>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</si>
  <si>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</si>
  <si>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</si>
  <si>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</si>
  <si>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</si>
  <si>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</si>
  <si>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</si>
  <si>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</si>
  <si>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</si>
  <si>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</si>
  <si>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</si>
  <si>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</si>
  <si>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</si>
  <si>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</si>
  <si>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</si>
  <si>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</si>
  <si>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</si>
  <si>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</si>
  <si>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</si>
  <si>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</si>
  <si>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</si>
  <si>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</si>
  <si>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</si>
  <si>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</si>
  <si>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</si>
  <si>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</si>
  <si>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</si>
  <si>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</si>
  <si>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</si>
  <si>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</si>
  <si>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</si>
  <si>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</si>
  <si>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</si>
  <si>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</si>
  <si>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</si>
  <si>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</si>
  <si>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</si>
  <si>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</si>
  <si>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</si>
  <si>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</si>
  <si>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</si>
  <si>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</si>
  <si>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</si>
  <si>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</si>
  <si>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</si>
  <si>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</si>
  <si>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</si>
  <si>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</si>
  <si>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</si>
  <si>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</si>
  <si>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</si>
  <si>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</si>
  <si>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</si>
  <si>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</si>
  <si>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</si>
  <si>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</si>
  <si>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</si>
  <si>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</si>
  <si>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</si>
  <si>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</si>
  <si>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</si>
  <si>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</si>
  <si>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</si>
  <si>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</si>
  <si>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</si>
  <si>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</si>
  <si>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</si>
  <si>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</si>
  <si>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</si>
  <si>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</si>
  <si>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</si>
  <si>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</si>
  <si>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</si>
  <si>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</si>
  <si>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</si>
  <si>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</si>
  <si>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</si>
  <si>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</si>
  <si>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</si>
  <si>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</si>
  <si>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</si>
  <si>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</si>
  <si>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</si>
  <si>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</si>
  <si>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</si>
  <si>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</si>
  <si>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</si>
  <si>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</si>
  <si>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</si>
  <si>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</si>
  <si>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</si>
  <si>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</si>
  <si>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</si>
  <si>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</si>
  <si>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</si>
  <si>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</si>
  <si>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</si>
  <si>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</si>
  <si>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</si>
  <si>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</si>
  <si>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</si>
  <si>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</si>
  <si>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</si>
  <si>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</si>
  <si>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</si>
  <si>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</si>
  <si>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</si>
  <si>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</si>
  <si>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</si>
  <si>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</si>
  <si>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</si>
  <si>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</si>
  <si>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</si>
  <si>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</si>
  <si>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</si>
  <si>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</si>
  <si>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</si>
  <si>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</si>
  <si>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</si>
  <si>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</si>
  <si>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</si>
  <si>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</si>
  <si>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</si>
  <si>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</si>
  <si>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</si>
  <si>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</si>
  <si>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</si>
  <si>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</si>
  <si>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</si>
  <si>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</si>
  <si>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</si>
  <si>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</si>
  <si>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</si>
  <si>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</si>
  <si>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</si>
  <si>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</si>
  <si>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</si>
  <si>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</si>
  <si>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</si>
  <si>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</si>
  <si>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</si>
  <si>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</si>
  <si>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</si>
  <si>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</si>
  <si>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</si>
  <si>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</si>
  <si>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</si>
  <si>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</si>
  <si>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</si>
  <si>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</si>
  <si>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</si>
  <si>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</si>
  <si>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</si>
  <si>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</si>
  <si>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</si>
  <si>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</si>
  <si>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</si>
  <si>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</si>
  <si>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</si>
  <si>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</si>
  <si>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</si>
  <si>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</si>
  <si>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</si>
  <si>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</si>
  <si>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</si>
  <si>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</si>
  <si>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</si>
  <si>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</si>
  <si>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</si>
  <si>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</si>
  <si>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</si>
  <si>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</si>
  <si>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</si>
  <si>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</si>
  <si>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</si>
  <si>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</si>
  <si>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</si>
  <si>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</si>
  <si>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</si>
  <si>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</si>
  <si>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</si>
  <si>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</si>
  <si>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</si>
  <si>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</si>
  <si>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</si>
  <si>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</si>
  <si>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</si>
  <si>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</si>
  <si>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</si>
  <si>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</si>
  <si>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</si>
  <si>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</si>
  <si>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</si>
  <si>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</si>
  <si>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</si>
  <si>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</si>
  <si>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</si>
  <si>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</si>
  <si>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</si>
  <si>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</si>
  <si>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</si>
  <si>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</si>
  <si>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</si>
  <si>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</si>
  <si>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</si>
  <si>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</si>
  <si>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</si>
  <si>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</si>
  <si>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</si>
  <si>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</si>
  <si>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</si>
  <si>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</si>
  <si>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</si>
  <si>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</si>
  <si>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</si>
  <si>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</si>
  <si>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</si>
  <si>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</si>
  <si>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</si>
  <si>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</si>
  <si>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</si>
  <si>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</si>
  <si>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</si>
  <si>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</si>
  <si>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</si>
  <si>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</si>
  <si>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</si>
  <si>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</si>
  <si>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</si>
  <si>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</si>
  <si>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</si>
  <si>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</si>
  <si>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</si>
  <si>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</si>
  <si>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</si>
  <si>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</si>
  <si>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</si>
  <si>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</si>
  <si>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</si>
  <si>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</si>
  <si>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</si>
  <si>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</si>
  <si>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</si>
  <si>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</si>
  <si>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</si>
  <si>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</si>
  <si>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</si>
  <si>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</si>
  <si>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</si>
  <si>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</si>
  <si>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</si>
  <si>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</si>
  <si>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</si>
  <si>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</si>
  <si>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</si>
  <si>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</si>
  <si>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</si>
  <si>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</si>
  <si>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</si>
  <si>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</si>
  <si>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</si>
  <si>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</si>
  <si>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</si>
  <si>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</si>
  <si>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</si>
  <si>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</si>
  <si>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</si>
  <si>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</si>
  <si>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</si>
  <si>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</si>
  <si>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</si>
  <si>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</si>
  <si>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</si>
  <si>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</si>
  <si>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</si>
  <si>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</si>
  <si>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</si>
  <si>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</si>
  <si>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</si>
  <si>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</si>
  <si>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</si>
  <si>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</si>
  <si>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</si>
  <si>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</si>
  <si>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</si>
  <si>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</si>
  <si>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</si>
  <si>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</si>
  <si>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</si>
  <si>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</si>
  <si>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</si>
  <si>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</si>
  <si>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</si>
  <si>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</si>
  <si>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</si>
  <si>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</si>
  <si>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</si>
  <si>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</si>
  <si>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</si>
  <si>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</si>
  <si>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</si>
  <si>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</si>
  <si>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</si>
  <si>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</si>
  <si>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</si>
  <si>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</si>
  <si>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</si>
  <si>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</si>
  <si>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</si>
  <si>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</si>
  <si>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</si>
  <si>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</si>
  <si>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</si>
  <si>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</si>
  <si>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</si>
  <si>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</si>
  <si>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</si>
  <si>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</si>
  <si>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</si>
  <si>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</si>
  <si>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</si>
  <si>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</si>
  <si>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</si>
  <si>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</si>
  <si>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</si>
  <si>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</si>
  <si>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</si>
  <si>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</si>
  <si>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</si>
  <si>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</si>
  <si>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</si>
  <si>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</si>
  <si>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</si>
  <si>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</si>
  <si>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</si>
  <si>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</si>
  <si>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</si>
  <si>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</si>
  <si>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</si>
  <si>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</si>
  <si>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</si>
  <si>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</si>
  <si>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</si>
  <si>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</si>
  <si>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</si>
  <si>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</si>
  <si>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</si>
  <si>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</si>
  <si>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</si>
  <si>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</si>
  <si>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</si>
  <si>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</si>
  <si>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</si>
  <si>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</si>
  <si>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</si>
  <si>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</si>
  <si>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</si>
  <si>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</si>
  <si>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</si>
  <si>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</si>
  <si>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</si>
  <si>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</si>
  <si>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</si>
  <si>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</si>
  <si>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</si>
  <si>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</si>
  <si>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</si>
  <si>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</si>
  <si>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</si>
  <si>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</si>
  <si>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</si>
  <si>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</si>
  <si>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</si>
  <si>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</si>
  <si>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</si>
  <si>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</si>
  <si>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</si>
  <si>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</si>
  <si>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</si>
  <si>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</si>
  <si>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</si>
  <si>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</si>
  <si>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</si>
  <si>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</si>
  <si>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</si>
  <si>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</si>
  <si>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</si>
  <si>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</si>
  <si>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</si>
  <si>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</si>
  <si>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</si>
  <si>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</si>
  <si>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</si>
  <si>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</si>
  <si>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</si>
  <si>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</si>
  <si>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</si>
  <si>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</si>
  <si>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</si>
  <si>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</si>
  <si>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</si>
  <si>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</si>
  <si>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</si>
  <si>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</si>
  <si>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</si>
  <si>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</si>
  <si>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</si>
  <si>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</si>
  <si>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</si>
  <si>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</si>
  <si>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</si>
  <si>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</si>
  <si>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</si>
  <si>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</si>
  <si>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</si>
  <si>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</si>
  <si>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</si>
  <si>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</si>
  <si>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</si>
  <si>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</si>
  <si>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</si>
  <si>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</si>
  <si>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</si>
  <si>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</si>
  <si>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</si>
  <si>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</si>
  <si>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</si>
  <si>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</si>
  <si>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</si>
  <si>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</si>
  <si>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</si>
  <si>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</si>
  <si>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</si>
  <si>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</si>
  <si>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</si>
  <si>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</si>
  <si>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</si>
  <si>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</si>
  <si>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</si>
  <si>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</si>
  <si>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</si>
  <si>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</si>
  <si>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</si>
  <si>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</si>
  <si>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</si>
  <si>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</si>
  <si>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</si>
  <si>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</si>
  <si>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</si>
  <si>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</si>
  <si>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</si>
  <si>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</si>
  <si>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</si>
  <si>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</si>
  <si>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</si>
  <si>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</si>
  <si>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</si>
  <si>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</si>
  <si>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</si>
  <si>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</si>
  <si>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</si>
  <si>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</si>
  <si>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</si>
  <si>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</si>
  <si>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</si>
  <si>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</si>
  <si>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</si>
  <si>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</si>
  <si>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</si>
  <si>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</si>
  <si>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</si>
  <si>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</si>
  <si>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</si>
  <si>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</si>
  <si>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</si>
  <si>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</si>
  <si>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</si>
  <si>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</si>
  <si>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</si>
  <si>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</si>
  <si>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</si>
  <si>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</si>
  <si>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</si>
  <si>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</si>
  <si>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</si>
  <si>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</si>
  <si>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</si>
  <si>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</si>
  <si>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</si>
  <si>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</si>
  <si>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</si>
  <si>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</si>
  <si>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</si>
  <si>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</si>
  <si>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</si>
  <si>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</si>
  <si>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</si>
  <si>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</si>
  <si>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</si>
  <si>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</si>
  <si>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</si>
  <si>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</si>
  <si>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</si>
  <si>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</si>
  <si>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</si>
  <si>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</si>
  <si>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</si>
  <si>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</si>
  <si>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</si>
  <si>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</si>
  <si>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</si>
  <si>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</si>
  <si>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</si>
  <si>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</si>
  <si>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</si>
  <si>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</si>
  <si>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</si>
  <si>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</si>
  <si>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</si>
  <si>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</si>
  <si>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</si>
  <si>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</si>
  <si>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</si>
  <si>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</si>
  <si>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</si>
  <si>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</si>
  <si>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</si>
  <si>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</si>
  <si>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</si>
  <si>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</si>
  <si>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</si>
  <si>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</si>
  <si>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</si>
  <si>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</si>
  <si>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</si>
  <si>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</si>
  <si>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</si>
  <si>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</si>
  <si>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</si>
  <si>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</si>
  <si>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</si>
  <si>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</si>
  <si>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</si>
  <si>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</si>
  <si>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</si>
  <si>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</si>
  <si>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</si>
  <si>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</si>
  <si>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</si>
  <si>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</si>
  <si>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</si>
  <si>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</si>
  <si>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</si>
  <si>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</si>
  <si>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</si>
  <si>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</si>
  <si>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</si>
  <si>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</si>
  <si>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</si>
  <si>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</si>
  <si>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</si>
  <si>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</si>
  <si>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</si>
  <si>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</si>
  <si>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</si>
  <si>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</si>
  <si>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</si>
  <si>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</si>
  <si>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</si>
  <si>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</si>
  <si>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</si>
  <si>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</si>
  <si>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</si>
  <si>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</si>
  <si>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</si>
  <si>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</si>
  <si>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</si>
  <si>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</si>
  <si>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</si>
  <si>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</si>
  <si>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</si>
  <si>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</si>
  <si>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</si>
  <si>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</si>
  <si>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</si>
  <si>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</si>
  <si>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</si>
  <si>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</si>
  <si>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</si>
  <si>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</si>
  <si>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</si>
  <si>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</si>
  <si>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</si>
  <si>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</si>
  <si>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</si>
  <si>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</si>
  <si>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</si>
  <si>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</si>
  <si>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</si>
  <si>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</si>
  <si>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</si>
  <si>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</si>
  <si>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</si>
  <si>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</si>
  <si>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</si>
  <si>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</si>
  <si>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</si>
  <si>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</si>
  <si>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</si>
  <si>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</si>
  <si>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</si>
  <si>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</si>
  <si>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</si>
  <si>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</si>
  <si>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</si>
  <si>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</si>
  <si>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</si>
  <si>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</si>
  <si>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</si>
  <si>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</si>
  <si>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</si>
  <si>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</si>
  <si>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</si>
  <si>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</si>
  <si>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</si>
  <si>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</si>
  <si>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</si>
  <si>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</si>
  <si>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</si>
  <si>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</si>
  <si>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</si>
  <si>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</si>
  <si>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</si>
  <si>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</si>
  <si>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</si>
  <si>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</si>
  <si>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</si>
  <si>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</si>
  <si>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</si>
  <si>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</si>
  <si>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</si>
  <si>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</si>
  <si>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</si>
  <si>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</si>
  <si>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</si>
  <si>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</si>
  <si>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</si>
  <si>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</si>
  <si>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</si>
  <si>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</si>
  <si>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</si>
  <si>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</si>
  <si>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</si>
  <si>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</si>
  <si>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</si>
  <si>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</si>
  <si>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</si>
  <si>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</si>
  <si>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</si>
  <si>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</si>
  <si>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</si>
  <si>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</si>
  <si>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</si>
  <si>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</si>
  <si>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</si>
  <si>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</si>
  <si>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</si>
  <si>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</si>
  <si>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</si>
  <si>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</si>
  <si>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</si>
  <si>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</si>
  <si>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</si>
  <si>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</si>
  <si>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</si>
  <si>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</si>
  <si>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</si>
  <si>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</si>
  <si>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</si>
  <si>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</si>
  <si>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</si>
  <si>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</si>
  <si>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</si>
  <si>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</si>
  <si>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</si>
  <si>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</si>
  <si>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</si>
  <si>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</si>
  <si>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</si>
  <si>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</si>
  <si>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</si>
  <si>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</si>
  <si>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</si>
  <si>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</si>
  <si>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</si>
  <si>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</si>
  <si>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</si>
  <si>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</si>
  <si>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</si>
  <si>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</si>
  <si>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</si>
  <si>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</si>
  <si>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</si>
  <si>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</si>
  <si>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</si>
  <si>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</si>
  <si>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</si>
  <si>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</si>
  <si>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</si>
  <si>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</si>
  <si>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</si>
  <si>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</si>
  <si>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</si>
  <si>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</si>
  <si>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</si>
  <si>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</si>
  <si>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</si>
  <si>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</si>
  <si>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</si>
  <si>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</si>
  <si>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</si>
  <si>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</si>
  <si>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</si>
  <si>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</si>
  <si>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</si>
  <si>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</si>
  <si>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</si>
  <si>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</si>
  <si>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</si>
  <si>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</si>
  <si>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</si>
  <si>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</si>
  <si>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</si>
  <si>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</si>
  <si>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</si>
  <si>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</si>
  <si>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</si>
  <si>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</si>
  <si>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</si>
  <si>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</si>
  <si>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</si>
  <si>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</si>
  <si>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</si>
  <si>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</si>
  <si>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</si>
  <si>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</si>
  <si>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</si>
  <si>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</si>
  <si>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</si>
  <si>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</si>
  <si>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</si>
  <si>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</si>
  <si>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TARRAGONA</t>
  </si>
  <si>
    <t>Resumenes por Partidos Judiciales</t>
  </si>
  <si>
    <t>AMPOSTA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</si>
</sst>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vOQoJz4SipPvM3v4lvzJ7NVSPfEsGvoz7IN3MewF1jBXS14X2C45Vl5GFqVyQpnkznpHlW3u+oMnpvi24HYdQ==" saltValue="Oq1DcJuxkHw4Vgzf3Ukn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44</v>
      </c>
      <c r="F10" s="226">
        <f>IF(ISNUMBER(Datos!K10),Datos!K10," - ")</f>
        <v>37</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0.21212121212121213</v>
      </c>
      <c r="L10" s="1025">
        <f>IF(ISNUMBER(NºAsuntos!I10/NºAsuntos!G10),(NºAsuntos!I10/NºAsuntos!G10)*11," - ")</f>
        <v>11.891891891891893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9.104769560557342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44</v>
      </c>
      <c r="F13" s="1051">
        <f>SUBTOTAL(9,F9:F12)</f>
        <v>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1226</v>
      </c>
      <c r="D16" s="225">
        <f>IF(ISNUMBER(IF(D_I="SI",Datos!I16,Datos!I16+Datos!AC16)),IF(D_I="SI",Datos!I16,Datos!I16+Datos!AC16)," - ")</f>
        <v>1219</v>
      </c>
      <c r="E16" s="226">
        <f>IF(ISNUMBER(IF(D_I="SI",Datos!J16,Datos!J16+Datos!AD16)),IF(D_I="SI",Datos!J16,Datos!J16+Datos!AD16)," - ")</f>
        <v>4312</v>
      </c>
      <c r="F16" s="226">
        <f>IF(ISNUMBER(IF(D_I="SI",Datos!K16,Datos!K16+Datos!AE16)),IF(D_I="SI",Datos!K16,Datos!K16+Datos!AE16)," - ")</f>
        <v>4145</v>
      </c>
      <c r="G16" s="1034" t="str">
        <f>IF(Datos!E16&lt;&gt;"",Datos!E16,Datos!D16)</f>
        <v>04</v>
      </c>
      <c r="H16" s="227">
        <f>IF(ISNUMBER(IF(D_I="SI",Datos!L16,Datos!L16+Datos!AF16)),IF(D_I="SI",Datos!L16,Datos!L16+Datos!AF16)," - ")</f>
        <v>1393</v>
      </c>
      <c r="I16" s="1044" t="str">
        <f>IF(ISNUMBER(Datos!AS16/Datos!BM16),Datos!AS16/Datos!BM16," - ")</f>
        <v xml:space="preserve"> - </v>
      </c>
      <c r="J16" s="1045">
        <f>IF(ISNUMBER(Datos!BY16/Datos!CN16),Datos!BY16/Datos!CN16," - ")</f>
        <v>0</v>
      </c>
      <c r="K16" s="230">
        <f t="shared" si="3"/>
        <v>0.13621533442088091</v>
      </c>
      <c r="L16" s="1025">
        <f>IF(ISNUMBER(NºAsuntos!I16/NºAsuntos!G16),(NºAsuntos!I16/NºAsuntos!G16)*11," - ")</f>
        <v>3.6967430639324492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110</v>
      </c>
      <c r="D17" s="225">
        <f>IF(ISNUMBER(IF(D_I="SI",Datos!I17,Datos!I17+Datos!AC17)),IF(D_I="SI",Datos!I17,Datos!I17+Datos!AC17)," - ")</f>
        <v>110</v>
      </c>
      <c r="E17" s="226">
        <f>IF(ISNUMBER(IF(D_I="SI",Datos!J17,Datos!J17+Datos!AD17)),IF(D_I="SI",Datos!J17,Datos!J17+Datos!AD17)," - ")</f>
        <v>305</v>
      </c>
      <c r="F17" s="226">
        <f>IF(ISNUMBER(IF(D_I="SI",Datos!K17,Datos!K17+Datos!AE17)),IF(D_I="SI",Datos!K17,Datos!K17+Datos!AE17)," - ")</f>
        <v>311</v>
      </c>
      <c r="G17" s="1034" t="str">
        <f>IF(Datos!E17&lt;&gt;"",Datos!E17,Datos!D17)</f>
        <v>37</v>
      </c>
      <c r="H17" s="227">
        <f>IF(ISNUMBER(IF(D_I="SI",Datos!L17,Datos!L17+Datos!AF17)),IF(D_I="SI",Datos!L17,Datos!L17+Datos!AF17)," - ")</f>
        <v>104</v>
      </c>
      <c r="I17" s="1044" t="str">
        <f>IF(ISNUMBER(Datos!AS17/Datos!BM17),Datos!AS17/Datos!BM17," - ")</f>
        <v xml:space="preserve"> - </v>
      </c>
      <c r="J17" s="1045" t="str">
        <f>IF(ISNUMBER((Datos!BY17+Datos!BZ17)/Datos!CN17),(Datos!BY17+Datos!BZ17)/Datos!CN17," - ")</f>
        <v xml:space="preserve"> - </v>
      </c>
      <c r="K17" s="230">
        <f t="shared" si="3"/>
        <v>-5.4545454545454543E-2</v>
      </c>
      <c r="L17" s="1025">
        <f>IF(ISNUMBER(NºAsuntos!I17/NºAsuntos!G17),(NºAsuntos!I17/NºAsuntos!G17)*11," - ")</f>
        <v>3.678456591639871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1336</v>
      </c>
      <c r="D18" s="1049">
        <f>SUBTOTAL(9,D15:D17)</f>
        <v>1329</v>
      </c>
      <c r="E18" s="1050">
        <f>SUBTOTAL(9,E15:E17)</f>
        <v>4617</v>
      </c>
      <c r="F18" s="1050">
        <f>SUBTOTAL(9,F15:F17)</f>
        <v>4456</v>
      </c>
      <c r="G18" s="1052" t="str">
        <f ca="1">INDIRECT(CONCATENATE("G",ROW()-1))</f>
        <v>37</v>
      </c>
      <c r="H18" s="1053">
        <f ca="1">SUMIF(G$14:G17,G18,H$14:H17)</f>
        <v>104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1369</v>
      </c>
      <c r="D19" s="1071">
        <f>SUBTOTAL(9,D9:D18)</f>
        <v>1362</v>
      </c>
      <c r="E19" s="1072">
        <f>SUBTOTAL(9,E9:E18)</f>
        <v>4661</v>
      </c>
      <c r="F19" s="1072">
        <f>SUBTOTAL(9,F9:F18)</f>
        <v>4493</v>
      </c>
      <c r="G19" s="1073"/>
      <c r="H19" s="1074">
        <f ca="1">SUMIF(B9:B18,"TOTAL",H9:H18)</f>
        <v>104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9IQ7+w3ZU2WzVOWxzNNiB4dSIjq44455zzrmKTsWDJ6KNVWVsNo3+vH+e92FSl0Ha90NDsOXB9qntigU133Qg==" saltValue="z10W1IBGGT6WHt6efaYj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kb2aCdBwfZuZd6ZmD4Il7CV/p8URHk0DQrhbrkI2jNSUQ+ZmL2OnGwM245k9VLRUT7sbgex3cRh7mBinLmeMg==" saltValue="nsh5+aVZhDwtTGK7OBWS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44</v>
      </c>
      <c r="K10" s="181">
        <v>37</v>
      </c>
      <c r="L10" s="181">
        <v>40</v>
      </c>
      <c r="M10" s="181">
        <v>23</v>
      </c>
      <c r="N10" s="181">
        <v>2</v>
      </c>
      <c r="O10" s="181">
        <v>0</v>
      </c>
      <c r="P10" s="181">
        <v>1</v>
      </c>
      <c r="Q10" s="181">
        <v>5</v>
      </c>
      <c r="R10" s="181">
        <v>17</v>
      </c>
      <c r="S10" s="181">
        <v>22</v>
      </c>
      <c r="T10" s="181">
        <v>39</v>
      </c>
      <c r="U10" s="181">
        <v>28</v>
      </c>
      <c r="V10" s="181">
        <v>33</v>
      </c>
      <c r="W10" s="181">
        <v>15</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39</v>
      </c>
      <c r="BA10" s="129">
        <f t="shared" si="0"/>
        <v>28</v>
      </c>
      <c r="BB10" s="129">
        <f t="shared" si="0"/>
        <v>33</v>
      </c>
      <c r="BC10" s="125">
        <f t="shared" si="0"/>
        <v>15</v>
      </c>
      <c r="BD10" s="126">
        <f>IF(ISNUMBER(BA10/AZ10),BA10/AZ10," - ")</f>
        <v>0.71794871794871795</v>
      </c>
      <c r="BE10" s="127">
        <f>IF(ISNUMBER(BB10/BA10),BB10/BA10, " - ")</f>
        <v>1.1785714285714286</v>
      </c>
      <c r="BF10" s="127">
        <f>IF(ISNUMBER(BC10/BA10),BC10/BA10, " - ")</f>
        <v>0.5357142857142857</v>
      </c>
      <c r="BG10" s="196">
        <f>IF(ISNUMBER((AY10+AZ10)/BA10),(AY10+AZ10)/BA10," - ")</f>
        <v>2.1785714285714284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2889</v>
      </c>
      <c r="J12" s="183">
        <v>3591</v>
      </c>
      <c r="K12" s="183">
        <v>3486</v>
      </c>
      <c r="L12" s="183">
        <v>2997</v>
      </c>
      <c r="M12" s="183">
        <v>849</v>
      </c>
      <c r="N12" s="183">
        <v>1248</v>
      </c>
      <c r="O12" s="181">
        <v>1496</v>
      </c>
      <c r="P12" s="183">
        <v>956</v>
      </c>
      <c r="Q12" s="183">
        <v>1543</v>
      </c>
      <c r="R12" s="183">
        <v>4574</v>
      </c>
      <c r="S12" s="183">
        <v>2351</v>
      </c>
      <c r="T12" s="183">
        <v>3787</v>
      </c>
      <c r="U12" s="183">
        <v>3239</v>
      </c>
      <c r="V12" s="183">
        <v>2889</v>
      </c>
      <c r="W12" s="183">
        <v>704</v>
      </c>
      <c r="X12" s="189">
        <v>1240</v>
      </c>
      <c r="Y12" s="191">
        <v>111</v>
      </c>
      <c r="Z12" s="181">
        <v>227</v>
      </c>
      <c r="AA12" s="181">
        <v>246</v>
      </c>
      <c r="AB12" s="181">
        <v>92</v>
      </c>
      <c r="AC12" s="183">
        <v>0</v>
      </c>
      <c r="AD12" s="183">
        <v>0</v>
      </c>
      <c r="AE12" s="183">
        <v>0</v>
      </c>
      <c r="AF12" s="189">
        <v>0</v>
      </c>
      <c r="AG12" s="202">
        <v>89</v>
      </c>
      <c r="AH12" s="183">
        <v>297</v>
      </c>
      <c r="AI12" s="183">
        <v>261</v>
      </c>
      <c r="AJ12" s="203">
        <v>111</v>
      </c>
      <c r="AK12" s="182">
        <v>0</v>
      </c>
      <c r="AL12" s="183">
        <v>0</v>
      </c>
      <c r="AM12" s="183">
        <v>0</v>
      </c>
      <c r="AN12" s="189">
        <v>0</v>
      </c>
      <c r="AO12" s="259">
        <v>4</v>
      </c>
      <c r="AP12" s="155">
        <v>4</v>
      </c>
      <c r="AQ12" s="155">
        <v>4</v>
      </c>
      <c r="AR12" s="154">
        <v>4</v>
      </c>
      <c r="AS12" s="340" t="s">
        <v>802</v>
      </c>
      <c r="AT12" s="203"/>
      <c r="AU12" s="202"/>
      <c r="AV12" s="203"/>
      <c r="AW12" s="202"/>
      <c r="AX12" s="203"/>
      <c r="AY12" s="126">
        <f t="shared" si="1"/>
        <v>2440</v>
      </c>
      <c r="AZ12" s="127">
        <f t="shared" si="1"/>
        <v>4084</v>
      </c>
      <c r="BA12" s="127">
        <f t="shared" si="1"/>
        <v>3500</v>
      </c>
      <c r="BB12" s="127">
        <f t="shared" si="1"/>
        <v>3000</v>
      </c>
      <c r="BC12" s="125">
        <f>IF(ISNUMBER(X12),X12," - ")</f>
        <v>1240</v>
      </c>
      <c r="BD12" s="126">
        <f t="shared" si="2"/>
        <v>0.85700293829578844</v>
      </c>
      <c r="BE12" s="127">
        <f t="shared" si="3"/>
        <v>0.8571428571428571</v>
      </c>
      <c r="BF12" s="127">
        <f t="shared" si="4"/>
        <v>0.35428571428571426</v>
      </c>
      <c r="BG12" s="196">
        <f t="shared" si="5"/>
        <v>1.8640000000000001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2922</v>
      </c>
      <c r="J13" s="184">
        <f t="shared" si="6"/>
        <v>3635</v>
      </c>
      <c r="K13" s="184">
        <f t="shared" si="6"/>
        <v>3523</v>
      </c>
      <c r="L13" s="184">
        <f t="shared" si="6"/>
        <v>3037</v>
      </c>
      <c r="M13" s="184">
        <f t="shared" si="6"/>
        <v>872</v>
      </c>
      <c r="N13" s="184">
        <f t="shared" si="6"/>
        <v>1250</v>
      </c>
      <c r="O13" s="184">
        <f t="shared" si="6"/>
        <v>1496</v>
      </c>
      <c r="P13" s="184">
        <f t="shared" si="6"/>
        <v>957</v>
      </c>
      <c r="Q13" s="184">
        <f t="shared" si="6"/>
        <v>1548</v>
      </c>
      <c r="R13" s="184">
        <f t="shared" si="6"/>
        <v>4591</v>
      </c>
      <c r="S13" s="184">
        <f t="shared" si="6"/>
        <v>2373</v>
      </c>
      <c r="T13" s="184">
        <f t="shared" si="6"/>
        <v>3826</v>
      </c>
      <c r="U13" s="184">
        <f t="shared" si="6"/>
        <v>3267</v>
      </c>
      <c r="V13" s="184">
        <f t="shared" si="6"/>
        <v>2922</v>
      </c>
      <c r="W13" s="184">
        <f t="shared" si="6"/>
        <v>719</v>
      </c>
      <c r="X13" s="184">
        <f t="shared" si="6"/>
        <v>1253</v>
      </c>
      <c r="Y13" s="184">
        <f t="shared" si="6"/>
        <v>111</v>
      </c>
      <c r="Z13" s="184">
        <f t="shared" si="6"/>
        <v>227</v>
      </c>
      <c r="AA13" s="184">
        <f t="shared" si="6"/>
        <v>246</v>
      </c>
      <c r="AB13" s="184">
        <f t="shared" si="6"/>
        <v>92</v>
      </c>
      <c r="AC13" s="184">
        <f t="shared" si="6"/>
        <v>0</v>
      </c>
      <c r="AD13" s="184">
        <f t="shared" si="6"/>
        <v>0</v>
      </c>
      <c r="AE13" s="184">
        <f t="shared" si="6"/>
        <v>0</v>
      </c>
      <c r="AF13" s="184">
        <f>SUBTOTAL(9,AF9:AF12)</f>
        <v>0</v>
      </c>
      <c r="AG13" s="184">
        <f t="shared" ref="AG13:AT13" si="7">SUBTOTAL(9,AG8:AG12)</f>
        <v>89</v>
      </c>
      <c r="AH13" s="184">
        <f t="shared" si="7"/>
        <v>297</v>
      </c>
      <c r="AI13" s="184">
        <f t="shared" si="7"/>
        <v>261</v>
      </c>
      <c r="AJ13" s="184">
        <f t="shared" si="7"/>
        <v>111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2462</v>
      </c>
      <c r="AZ13" s="184">
        <f>SUBTOTAL(9,AZ8:AZ12)</f>
        <v>4123</v>
      </c>
      <c r="BA13" s="184">
        <f>SUBTOTAL(9,BA8:BA12)</f>
        <v>3528</v>
      </c>
      <c r="BB13" s="184">
        <f>SUBTOTAL(9,BB8:BB12)</f>
        <v>3033</v>
      </c>
      <c r="BC13" s="184">
        <f>SUBTOTAL(9,BC8:BC12)</f>
        <v>1255</v>
      </c>
      <c r="BD13" s="205">
        <f>IF(ISNUMBER(BA13/AZ13),BA13/AZ13," - ")</f>
        <v>0.8556876061120543</v>
      </c>
      <c r="BE13" s="206">
        <f>IF(ISNUMBER(BB13/BA13),BB13/BA13, " - ")</f>
        <v>0.85969387755102045</v>
      </c>
      <c r="BF13" s="206">
        <f>IF(ISNUMBER(BC13/BA13),BC13/BA13, " - ")</f>
        <v>0.35572562358276644</v>
      </c>
      <c r="BG13" s="207">
        <f>IF(ISNUMBER((AY13+AZ13)/BA13),(AY13+AZ13)/BA13," - ")</f>
        <v>1.8664965986394557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1219</v>
      </c>
      <c r="J16" s="183">
        <v>4312</v>
      </c>
      <c r="K16" s="183">
        <v>4145</v>
      </c>
      <c r="L16" s="183">
        <v>1393</v>
      </c>
      <c r="M16" s="183">
        <v>623</v>
      </c>
      <c r="N16" s="183">
        <v>2809</v>
      </c>
      <c r="O16" s="181">
        <v>46</v>
      </c>
      <c r="P16" s="183">
        <v>113</v>
      </c>
      <c r="Q16" s="183">
        <v>96</v>
      </c>
      <c r="R16" s="183">
        <v>125</v>
      </c>
      <c r="S16" s="183">
        <v>1086</v>
      </c>
      <c r="T16" s="183">
        <v>4207</v>
      </c>
      <c r="U16" s="183">
        <v>4079</v>
      </c>
      <c r="V16" s="183">
        <v>1219</v>
      </c>
      <c r="W16" s="183">
        <v>600</v>
      </c>
      <c r="X16" s="189">
        <v>2779</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4</v>
      </c>
      <c r="AP16" s="155">
        <v>4</v>
      </c>
      <c r="AQ16" s="155">
        <v>4</v>
      </c>
      <c r="AR16" s="155">
        <v>4</v>
      </c>
      <c r="AS16" s="340" t="s">
        <v>487</v>
      </c>
      <c r="AT16" s="203"/>
      <c r="AU16" s="202"/>
      <c r="AV16" s="203"/>
      <c r="AW16" s="202"/>
      <c r="AX16" s="203"/>
      <c r="AY16" s="126">
        <f t="shared" si="9"/>
        <v>1086</v>
      </c>
      <c r="AZ16" s="127">
        <f t="shared" si="9"/>
        <v>4207</v>
      </c>
      <c r="BA16" s="127">
        <f t="shared" si="9"/>
        <v>4079</v>
      </c>
      <c r="BB16" s="127">
        <f t="shared" si="9"/>
        <v>1219</v>
      </c>
      <c r="BC16" s="125">
        <f>IF(ISNUMBER(W16),W16," - ")</f>
        <v>600</v>
      </c>
      <c r="BD16" s="126">
        <f t="shared" ref="BD16" si="11">IF(ISNUMBER(BA16/AZ16),BA16/AZ16," - ")</f>
        <v>0.96957451865937727</v>
      </c>
      <c r="BE16" s="127">
        <f t="shared" ref="BE16" si="12">IF(ISNUMBER(BB16/BA16),BB16/BA16, " - ")</f>
        <v>0.29884775680313802</v>
      </c>
      <c r="BF16" s="127">
        <f t="shared" ref="BF16" si="13">IF(ISNUMBER(BC16/BA16),BC16/BA16, " - ")</f>
        <v>0.14709487619514586</v>
      </c>
      <c r="BG16" s="196">
        <f t="shared" si="10"/>
        <v>1.2976219661681785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110</v>
      </c>
      <c r="J17" s="183">
        <v>305</v>
      </c>
      <c r="K17" s="183">
        <v>311</v>
      </c>
      <c r="L17" s="183">
        <v>104</v>
      </c>
      <c r="M17" s="183">
        <v>39</v>
      </c>
      <c r="N17" s="183">
        <v>205</v>
      </c>
      <c r="O17" s="183">
        <v>0</v>
      </c>
      <c r="P17" s="183">
        <v>0</v>
      </c>
      <c r="Q17" s="183">
        <v>1</v>
      </c>
      <c r="R17" s="183">
        <v>0</v>
      </c>
      <c r="S17" s="183">
        <v>106</v>
      </c>
      <c r="T17" s="183">
        <v>335</v>
      </c>
      <c r="U17" s="183">
        <v>331</v>
      </c>
      <c r="V17" s="183">
        <v>110</v>
      </c>
      <c r="W17" s="183">
        <v>39</v>
      </c>
      <c r="X17" s="189">
        <v>234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106</v>
      </c>
      <c r="AZ17" s="129">
        <f t="shared" si="14"/>
        <v>335</v>
      </c>
      <c r="BA17" s="129">
        <f t="shared" si="14"/>
        <v>331</v>
      </c>
      <c r="BB17" s="129">
        <f t="shared" si="14"/>
        <v>110</v>
      </c>
      <c r="BC17" s="125">
        <f>IF(ISNUMBER(W17),W17," - ")</f>
        <v>39</v>
      </c>
      <c r="BD17" s="126">
        <f>IF(ISNUMBER(BA17/AZ17),BA17/AZ17," - ")</f>
        <v>0.9880597014925373</v>
      </c>
      <c r="BE17" s="127">
        <f>IF(ISNUMBER(BB17/BA17),BB17/BA17, " - ")</f>
        <v>0.33232628398791542</v>
      </c>
      <c r="BF17" s="127">
        <f>IF(ISNUMBER(BC17/BA17),BC17/BA17, " - ")</f>
        <v>0.11782477341389729</v>
      </c>
      <c r="BG17" s="196">
        <f>IF(ISNUMBER((AY17+AZ17)/BA17),(AY17+AZ17)/BA17," - ")</f>
        <v>1.3323262839879153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1329</v>
      </c>
      <c r="J18" s="184">
        <f t="shared" si="15"/>
        <v>4617</v>
      </c>
      <c r="K18" s="184">
        <f t="shared" si="15"/>
        <v>4456</v>
      </c>
      <c r="L18" s="184">
        <f t="shared" si="15"/>
        <v>1497</v>
      </c>
      <c r="M18" s="184">
        <f t="shared" si="15"/>
        <v>662</v>
      </c>
      <c r="N18" s="184">
        <f t="shared" si="15"/>
        <v>3014</v>
      </c>
      <c r="O18" s="184">
        <f t="shared" si="15"/>
        <v>46</v>
      </c>
      <c r="P18" s="184">
        <f t="shared" si="15"/>
        <v>113</v>
      </c>
      <c r="Q18" s="184">
        <f t="shared" si="15"/>
        <v>97</v>
      </c>
      <c r="R18" s="184">
        <f t="shared" si="15"/>
        <v>125</v>
      </c>
      <c r="S18" s="184">
        <f t="shared" si="15"/>
        <v>1192</v>
      </c>
      <c r="T18" s="184">
        <f t="shared" si="15"/>
        <v>4542</v>
      </c>
      <c r="U18" s="184">
        <f t="shared" si="15"/>
        <v>4410</v>
      </c>
      <c r="V18" s="184">
        <f t="shared" si="15"/>
        <v>1329</v>
      </c>
      <c r="W18" s="184">
        <f t="shared" si="15"/>
        <v>639</v>
      </c>
      <c r="X18" s="184">
        <f t="shared" si="15"/>
        <v>3013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1192</v>
      </c>
      <c r="AZ18" s="184">
        <f>SUBTOTAL(9,AZ14:AZ17)</f>
        <v>4542</v>
      </c>
      <c r="BA18" s="184">
        <f>SUBTOTAL(9,BA14:BA17)</f>
        <v>4410</v>
      </c>
      <c r="BB18" s="184">
        <f>SUBTOTAL(9,BB14:BB17)</f>
        <v>1329</v>
      </c>
      <c r="BC18" s="184">
        <f>SUBTOTAL(9,BC14:BC17)</f>
        <v>639</v>
      </c>
      <c r="BD18" s="205">
        <f>IF(ISNUMBER(BA18/AZ18),BA18/AZ18," - ")</f>
        <v>0.97093791281373842</v>
      </c>
      <c r="BE18" s="206">
        <f>IF(ISNUMBER(BB18/BA18),BB18/BA18, " - ")</f>
        <v>0.3013605442176871</v>
      </c>
      <c r="BF18" s="206">
        <f>IF(ISNUMBER(BC18/BA18),BC18/BA18, " - ")</f>
        <v>0.14489795918367346</v>
      </c>
      <c r="BG18" s="207">
        <f>IF(ISNUMBER((AY18+AZ18)/BA18),(AY18+AZ18)/BA18," - ")</f>
        <v>1.3002267573696145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4251</v>
      </c>
      <c r="J19" s="134">
        <f t="shared" si="18"/>
        <v>8252</v>
      </c>
      <c r="K19" s="134">
        <f t="shared" si="18"/>
        <v>7979</v>
      </c>
      <c r="L19" s="134">
        <f t="shared" si="18"/>
        <v>4534</v>
      </c>
      <c r="M19" s="134">
        <f t="shared" si="18"/>
        <v>1534</v>
      </c>
      <c r="N19" s="134">
        <f t="shared" si="18"/>
        <v>4264</v>
      </c>
      <c r="O19" s="134">
        <f t="shared" si="18"/>
        <v>1542</v>
      </c>
      <c r="P19" s="134">
        <f t="shared" si="18"/>
        <v>1070</v>
      </c>
      <c r="Q19" s="134">
        <f t="shared" si="18"/>
        <v>1645</v>
      </c>
      <c r="R19" s="134">
        <f t="shared" si="18"/>
        <v>4716</v>
      </c>
      <c r="S19" s="134">
        <f t="shared" si="18"/>
        <v>3565</v>
      </c>
      <c r="T19" s="134">
        <f t="shared" si="18"/>
        <v>8368</v>
      </c>
      <c r="U19" s="134">
        <f t="shared" si="18"/>
        <v>7677</v>
      </c>
      <c r="V19" s="134">
        <f t="shared" si="18"/>
        <v>4251</v>
      </c>
      <c r="W19" s="134">
        <f t="shared" si="18"/>
        <v>1358</v>
      </c>
      <c r="X19" s="134">
        <f t="shared" si="18"/>
        <v>4266</v>
      </c>
      <c r="Y19" s="134">
        <f t="shared" si="18"/>
        <v>111</v>
      </c>
      <c r="Z19" s="134">
        <f t="shared" si="18"/>
        <v>227</v>
      </c>
      <c r="AA19" s="134">
        <f t="shared" si="18"/>
        <v>246</v>
      </c>
      <c r="AB19" s="134">
        <f t="shared" si="18"/>
        <v>92</v>
      </c>
      <c r="AC19" s="134">
        <f t="shared" si="18"/>
        <v>0</v>
      </c>
      <c r="AD19" s="134">
        <f t="shared" si="18"/>
        <v>0</v>
      </c>
      <c r="AE19" s="134">
        <f t="shared" si="18"/>
        <v>0</v>
      </c>
      <c r="AF19" s="134">
        <f t="shared" si="18"/>
        <v>0</v>
      </c>
      <c r="AG19" s="134">
        <f t="shared" si="18"/>
        <v>89</v>
      </c>
      <c r="AH19" s="134">
        <f t="shared" si="18"/>
        <v>297</v>
      </c>
      <c r="AI19" s="134">
        <f t="shared" si="18"/>
        <v>261</v>
      </c>
      <c r="AJ19" s="134">
        <f t="shared" si="18"/>
        <v>111</v>
      </c>
      <c r="AK19" s="134">
        <f t="shared" si="18"/>
        <v>0</v>
      </c>
      <c r="AL19" s="134">
        <f t="shared" si="18"/>
        <v>3</v>
      </c>
      <c r="AM19" s="134">
        <f t="shared" si="18"/>
        <v>3</v>
      </c>
      <c r="AN19" s="210">
        <f t="shared" si="18"/>
        <v>0</v>
      </c>
      <c r="AO19" s="211">
        <v>5</v>
      </c>
      <c r="AP19" s="211">
        <v>4</v>
      </c>
      <c r="AQ19" s="211">
        <v>4</v>
      </c>
      <c r="AR19" s="211">
        <v>4</v>
      </c>
      <c r="AS19" s="153">
        <f t="shared" si="18"/>
        <v>0</v>
      </c>
      <c r="AT19" s="153">
        <f t="shared" si="18"/>
        <v>0</v>
      </c>
      <c r="AU19" s="211"/>
      <c r="AV19" s="212"/>
      <c r="AW19" s="211"/>
      <c r="AX19" s="212"/>
      <c r="AY19" s="133">
        <f>SUBTOTAL(9,AY9:AY18)</f>
        <v>3654</v>
      </c>
      <c r="AZ19" s="134">
        <f>SUBTOTAL(9,AZ9:AZ18)</f>
        <v>8665</v>
      </c>
      <c r="BA19" s="134">
        <f>SUBTOTAL(9,BA9:BA18)</f>
        <v>7938</v>
      </c>
      <c r="BB19" s="134">
        <f>SUBTOTAL(9,BB9:BB18)</f>
        <v>4362</v>
      </c>
      <c r="BC19" s="135">
        <f>SUBTOTAL(9,BC9:BC18)</f>
        <v>1894</v>
      </c>
      <c r="BD19" s="213">
        <f>IF(ISNUMBER(BA19/AZ19),BA19/AZ19," - ")</f>
        <v>0.91609924985574154</v>
      </c>
      <c r="BE19" s="210">
        <f>IF(ISNUMBER(BB19/BA19),BB19/BA19, " - ")</f>
        <v>0.54950869236583522</v>
      </c>
      <c r="BF19" s="210">
        <f>IF(ISNUMBER(BC19/BA19),BC19/BA19, " - ")</f>
        <v>0.23859914336104812</v>
      </c>
      <c r="BG19" s="135">
        <f>IF(ISNUMBER((AY19+AZ19)/BA19),(AY19+AZ19)/BA19," - ")</f>
        <v>1.5519022423784328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sGZt8oKpWqq4wbPmxku4ucqS7GzOHuTBrih3DwUcz3vV6ur+r88lH3CEiyWevA8NK4Ea5RDNG1HRRegASZuQ==" saltValue="gzHlxcLGXkHZdXQHopiw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0A0IWDh9TlIlc7669IkoZ/1w35zg12WlEvAmmJ5ZG+L51MODJdhiSIZ5CtGAYYYa1qw+GPFmiYYFpIcDiC2bQ==" saltValue="GUm3C0f+/3FpVH4/Ql6O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37</v>
      </c>
      <c r="AC10" s="226">
        <f>IF(ISNUMBER(Datos!Q10),Datos!Q10," - ")</f>
        <v>5</v>
      </c>
      <c r="AD10" s="334"/>
      <c r="AE10" s="484"/>
      <c r="AF10" s="332">
        <f>IF(ISNUMBER(Datos!L10),Datos!L10,"-")</f>
        <v>40</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2</v>
      </c>
      <c r="BE10" s="229" t="str">
        <f>IF(ISNUMBER(Datos!BW10),Datos!BW10," - ")</f>
        <v xml:space="preserve"> - </v>
      </c>
      <c r="BF10" s="228" t="str">
        <f>IF(ISNUMBER(Datos!BX10),Datos!BX10," - ")</f>
        <v xml:space="preserve"> - </v>
      </c>
      <c r="BG10" s="243">
        <f>IF(ISNUMBER(Datos!K10/Datos!J10),Datos!K10/Datos!J10," - ")</f>
        <v>0.84090909090909094</v>
      </c>
      <c r="BH10" s="260">
        <f>IF(ISNUMBER(((Datos!L10/Datos!K10)*11)/factor_trimestre),((Datos!L10/Datos!K10)*11)/factor_trimestre," - ")</f>
        <v>11.891891891891893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-0.19047619047619047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227</v>
      </c>
      <c r="O12" s="334"/>
      <c r="P12" s="334"/>
      <c r="Q12" s="226">
        <f>IF(ISNUMBER(Datos!P12),Datos!P12,0)</f>
        <v>956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92</v>
      </c>
      <c r="AI12" s="334" t="str">
        <f>IF(ISNUMBER(Datos!CD12),Datos!CD12,"-")</f>
        <v>-</v>
      </c>
      <c r="AJ12" s="334" t="str">
        <f>IF(ISNUMBER(Datos!EN12),Datos!EN12," - ")</f>
        <v xml:space="preserve"> - </v>
      </c>
      <c r="AK12" s="334"/>
      <c r="AL12" s="479"/>
      <c r="AM12" s="335">
        <f>IF(ISNUMBER(Datos!R12),Datos!R12," - ")</f>
        <v>4574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849</v>
      </c>
      <c r="BD12" s="229">
        <f>IF(ISNUMBER(Datos!N12),Datos!N12," - ")</f>
        <v>1248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0.97747511786275532</v>
      </c>
      <c r="BH12" s="260">
        <f>IF(ISNUMBER(((IF(J_V="SI",Datos!L12/Datos!K12,(Datos!L12+Datos!AB12)/(Datos!K12+Datos!AA12)))*11)/factor_trimestre),((IF(J_V="SI",Datos!L12/Datos!K12,(Datos!L12+Datos!AB12)/(Datos!K12+Datos!AA12)))*11)/factor_trimestre," - ")</f>
        <v>9.104769560557342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-0.11373764774268552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227</v>
      </c>
      <c r="O13" s="900">
        <f t="shared" si="0"/>
        <v>0</v>
      </c>
      <c r="P13" s="900">
        <f t="shared" si="0"/>
        <v>0</v>
      </c>
      <c r="Q13" s="899">
        <f t="shared" si="0"/>
        <v>957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37</v>
      </c>
      <c r="AC13" s="899">
        <f t="shared" si="1"/>
        <v>1548</v>
      </c>
      <c r="AD13" s="899">
        <f t="shared" si="1"/>
        <v>0</v>
      </c>
      <c r="AE13" s="899">
        <f t="shared" si="1"/>
        <v>0</v>
      </c>
      <c r="AF13" s="899">
        <f t="shared" si="1"/>
        <v>40</v>
      </c>
      <c r="AG13" s="899">
        <f t="shared" si="1"/>
        <v>0</v>
      </c>
      <c r="AH13" s="899">
        <f t="shared" si="1"/>
        <v>92</v>
      </c>
      <c r="AI13" s="899">
        <f t="shared" si="1"/>
        <v>0</v>
      </c>
      <c r="AJ13" s="899">
        <f t="shared" si="1"/>
        <v>0</v>
      </c>
      <c r="AK13" s="899">
        <f t="shared" si="1"/>
        <v>0</v>
      </c>
      <c r="AL13" s="899">
        <f t="shared" si="1"/>
        <v>0</v>
      </c>
      <c r="AM13" s="899">
        <f t="shared" si="1"/>
        <v>4591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872</v>
      </c>
      <c r="BD13" s="899">
        <f t="shared" si="1"/>
        <v>1250</v>
      </c>
      <c r="BE13" s="899">
        <f t="shared" si="1"/>
        <v>0</v>
      </c>
      <c r="BF13" s="899">
        <f t="shared" si="1"/>
        <v>0</v>
      </c>
      <c r="BG13" s="899">
        <f>IF(ISNUMBER(Datos!K13/Datos!J13),Datos!K13/Datos!J13," - ")</f>
        <v>0.96918844566712514</v>
      </c>
      <c r="BH13" s="903">
        <f>IF(ISNUMBER(((Datos!L13/Datos!K13)*11)/factor_trimestre),((Datos!L13/Datos!K13)*11)/factor_trimestre," - ")</f>
        <v>9.4825432869713318</v>
      </c>
      <c r="BI13" s="899">
        <f>IF(ISNUMBER('Resol  Asuntos'!D13/NºAsuntos!G13),'Resol  Asuntos'!D13/NºAsuntos!G13," - ")</f>
        <v>0.23136110374104538</v>
      </c>
      <c r="BJ13" s="899" t="str">
        <f>IF(ISNUMBER(Datos!CI13/Datos!CJ13),Datos!CI13/Datos!CJ13," - ")</f>
        <v xml:space="preserve"> - </v>
      </c>
      <c r="BK13" s="899">
        <f>SUBTOTAL(9,BK8:BK12)</f>
        <v>0</v>
      </c>
      <c r="BL13" s="899">
        <f>IF(ISNUMBER((I13-AB13+L13)/(F13)),(I13-AB13+L13)/(F13)," - ")</f>
        <v>-1.1212121212121211</v>
      </c>
      <c r="BM13" s="904">
        <f>SUBTOTAL(9,BM9:BM12)</f>
        <v>-0.30421383821887599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1226</v>
      </c>
      <c r="G16" s="598">
        <f>IF(ISNUMBER(IF(D_I="SI",Datos!I16,Datos!I16+Datos!AC16)),IF(D_I="SI",Datos!I16,Datos!I16+Datos!AC16)," - ")</f>
        <v>1219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4145</v>
      </c>
      <c r="AC16" s="226">
        <f>IF(ISNUMBER(Datos!Q16),Datos!Q16," - ")</f>
        <v>96</v>
      </c>
      <c r="AD16" s="334"/>
      <c r="AE16" s="484"/>
      <c r="AF16" s="596">
        <f>IF(ISNUMBER(IF(D_I="SI",Datos!L16,Datos!L16+Datos!AF16)),IF(D_I="SI",Datos!L16,Datos!L16+Datos!AF16)," - ")</f>
        <v>1393</v>
      </c>
      <c r="AG16" s="334"/>
      <c r="AH16" s="334"/>
      <c r="AI16" s="334"/>
      <c r="AJ16" s="334"/>
      <c r="AK16" s="334"/>
      <c r="AL16" s="479"/>
      <c r="AM16" s="335">
        <f>IF(ISNUMBER(Datos!R16),Datos!R16," - ")</f>
        <v>125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623</v>
      </c>
      <c r="BD16" s="229">
        <f>IF(ISNUMBER(Datos!N16),Datos!N16," - ")</f>
        <v>2809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0.9612708719851577</v>
      </c>
      <c r="BH16" s="260">
        <f>IF(ISNUMBER(((IF(D_I="SI",Datos!L16/Datos!K16,(Datos!L16+Datos!AF16)/(Datos!K16+Datos!AE16)))*11)/factor_trimestre),((IF(D_I="SI",Datos!L16/Datos!K16,(Datos!L16+Datos!AF16)/(Datos!K16+Datos!AE16)))*11)/factor_trimestre," - ")</f>
        <v>3.6967430639324492</v>
      </c>
      <c r="BI16" s="243">
        <f>IF(ISNUMBER('Resol  Asuntos'!D16/NºAsuntos!G16),'Resol  Asuntos'!D16/NºAsuntos!G16," - ")</f>
        <v>0.1503015681544029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311</v>
      </c>
      <c r="AC17" s="226">
        <f>IF(ISNUMBER(Datos!Q17),Datos!Q17," - ")</f>
        <v>1</v>
      </c>
      <c r="AD17" s="334"/>
      <c r="AE17" s="484"/>
      <c r="AF17" s="332">
        <f>IF(ISNUMBER(Datos!L17),Datos!L17,"-")</f>
        <v>104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205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1.019672131147541</v>
      </c>
      <c r="BH17" s="260">
        <f>IF(ISNUMBER(((IF(D_I="SI",Datos!L17/Datos!K17,(Datos!L17+Datos!AF17)/(Datos!K17+Datos!AE17)))*11)/factor_trimestre),((IF(D_I="SI",Datos!L17/Datos!K17,(Datos!L17+Datos!AF17)/(Datos!K17+Datos!AE17)))*11)/factor_trimestre," - ")</f>
        <v>3.678456591639871</v>
      </c>
      <c r="BI17" s="243">
        <f>IF(ISNUMBER('Resol  Asuntos'!D17/NºAsuntos!G17),'Resol  Asuntos'!D17/NºAsuntos!G17," - ")</f>
        <v>0.12540192926045016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1226</v>
      </c>
      <c r="G18" s="898">
        <f>SUBTOTAL(9,G15:G17)</f>
        <v>1329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4456</v>
      </c>
      <c r="AC18" s="899">
        <f t="shared" si="4"/>
        <v>97</v>
      </c>
      <c r="AD18" s="899">
        <f t="shared" si="4"/>
        <v>0</v>
      </c>
      <c r="AE18" s="899">
        <f t="shared" si="4"/>
        <v>0</v>
      </c>
      <c r="AF18" s="899">
        <f t="shared" si="4"/>
        <v>1497</v>
      </c>
      <c r="AG18" s="899">
        <f t="shared" si="4"/>
        <v>0</v>
      </c>
      <c r="AH18" s="899">
        <f t="shared" si="4"/>
        <v>0</v>
      </c>
      <c r="AI18" s="899">
        <f t="shared" si="4"/>
        <v>0</v>
      </c>
      <c r="AJ18" s="899">
        <f t="shared" si="4"/>
        <v>0</v>
      </c>
      <c r="AK18" s="899">
        <f t="shared" si="4"/>
        <v>0</v>
      </c>
      <c r="AL18" s="899">
        <f t="shared" si="4"/>
        <v>0</v>
      </c>
      <c r="AM18" s="899">
        <f t="shared" si="4"/>
        <v>125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662</v>
      </c>
      <c r="BD18" s="899">
        <f t="shared" si="4"/>
        <v>3014</v>
      </c>
      <c r="BE18" s="899">
        <f t="shared" si="4"/>
        <v>0</v>
      </c>
      <c r="BF18" s="899">
        <f t="shared" si="4"/>
        <v>0</v>
      </c>
      <c r="BG18" s="899">
        <f>IF(ISNUMBER(Datos!K18/Datos!J18),Datos!K18/Datos!J18," - ")</f>
        <v>0.96512887156162008</v>
      </c>
      <c r="BH18" s="903">
        <f>IF(ISNUMBER(((Datos!L18/Datos!K18)*11)/factor_trimestre),((Datos!L18/Datos!K18)*11)/factor_trimestre," - ")</f>
        <v>3.695466786355476</v>
      </c>
      <c r="BI18" s="899">
        <f>SUBTOTAL(9,BI15:BI17)</f>
        <v>0.27570349741485306</v>
      </c>
      <c r="BJ18" s="899">
        <f>SUBTOTAL(9,BJ15:BJ17)</f>
        <v>0</v>
      </c>
      <c r="BK18" s="899">
        <f>SUBTOTAL(9,BK15:BK17)</f>
        <v>0</v>
      </c>
      <c r="BL18" s="899">
        <f>IF(ISNUMBER((I18-AB18+L18)/(F18)),(I18-AB18+L18)/(F18)," - ")</f>
        <v>-3.6345840130505711</v>
      </c>
      <c r="BM18" s="905">
        <f>IF(ISNUMBER((Datos!P18-Datos!Q18)/(Datos!R18-Datos!P18+Datos!Q18)),(Datos!P18-Datos!Q18)/(Datos!R18-Datos!P18+Datos!Q18)," - ")</f>
        <v>0.14678899082568808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1259</v>
      </c>
      <c r="G19" s="820">
        <f t="shared" si="6"/>
        <v>1362</v>
      </c>
      <c r="H19" s="822">
        <f t="shared" si="6"/>
        <v>0</v>
      </c>
      <c r="I19" s="820">
        <f t="shared" si="6"/>
        <v>0</v>
      </c>
      <c r="J19" s="822">
        <f t="shared" si="6"/>
        <v>0</v>
      </c>
      <c r="K19" s="822">
        <f t="shared" si="6"/>
        <v>0</v>
      </c>
      <c r="L19" s="881">
        <f t="shared" si="6"/>
        <v>0</v>
      </c>
      <c r="M19" s="881">
        <f t="shared" si="6"/>
        <v>0</v>
      </c>
      <c r="N19" s="881">
        <f t="shared" si="6"/>
        <v>227</v>
      </c>
      <c r="O19" s="881">
        <f t="shared" si="6"/>
        <v>0</v>
      </c>
      <c r="P19" s="881">
        <f t="shared" si="6"/>
        <v>0</v>
      </c>
      <c r="Q19" s="822">
        <f t="shared" si="6"/>
        <v>1070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4493</v>
      </c>
      <c r="AC19" s="821">
        <f t="shared" si="7"/>
        <v>1645</v>
      </c>
      <c r="AD19" s="821">
        <f t="shared" si="7"/>
        <v>0</v>
      </c>
      <c r="AE19" s="821">
        <f t="shared" si="7"/>
        <v>0</v>
      </c>
      <c r="AF19" s="828">
        <f t="shared" si="7"/>
        <v>1537</v>
      </c>
      <c r="AG19" s="828">
        <f t="shared" si="7"/>
        <v>0</v>
      </c>
      <c r="AH19" s="828">
        <f t="shared" si="7"/>
        <v>92</v>
      </c>
      <c r="AI19" s="828">
        <f t="shared" si="7"/>
        <v>0</v>
      </c>
      <c r="AJ19" s="821">
        <f t="shared" si="7"/>
        <v>0</v>
      </c>
      <c r="AK19" s="828">
        <f t="shared" si="7"/>
        <v>0</v>
      </c>
      <c r="AL19" s="828">
        <f t="shared" si="7"/>
        <v>0</v>
      </c>
      <c r="AM19" s="828">
        <f t="shared" si="7"/>
        <v>4716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1534</v>
      </c>
      <c r="BD19" s="820">
        <f t="shared" si="7"/>
        <v>4264</v>
      </c>
      <c r="BE19" s="820">
        <f t="shared" si="7"/>
        <v>0</v>
      </c>
      <c r="BF19" s="830">
        <f t="shared" si="7"/>
        <v>0</v>
      </c>
      <c r="BG19" s="915">
        <f>IF(ISNUMBER(Datos!K19/Datos!J19),Datos!K19/Datos!J19," - ")</f>
        <v>0.96691711100339317</v>
      </c>
      <c r="BH19" s="915">
        <f>IF(ISNUMBER(((Datos!L19/Datos!K19)*11)/factor_trimestre),((Datos!L19/Datos!K19)*11)/factor_trimestre," - ")</f>
        <v>6.2506579771901238</v>
      </c>
      <c r="BI19" s="813">
        <f>IF(ISNUMBER(Datos!J19/Datos!I19),Datos!J19/Datos!I19," - ")</f>
        <v>1.9411903081627853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-3.568705321683876</v>
      </c>
      <c r="BM19" s="889">
        <f>IF(ISNUMBER((Datos!P19-Datos!Q19+R19)/(Datos!R19-Datos!P19+Datos!Q19-R19)),(Datos!P19-Datos!Q19+R19)/(Datos!R19-Datos!P19+Datos!Q19-R19)," - ")</f>
        <v>-0.10867510867510867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688.77887114322357</v>
      </c>
      <c r="G21" s="552">
        <f>IF(ISNUMBER(STDEV(G8:G18)),STDEV(G8:G18),"-")</f>
        <v>667.54115977967979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2290.5665674675338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384.92527413339155</v>
      </c>
      <c r="BD21" s="551"/>
      <c r="BE21" s="551">
        <f>IF(ISNUMBER(STDEV(BE8:BE18)),STDEV(BE8:BE18),"-")</f>
        <v>0</v>
      </c>
      <c r="BF21" s="556">
        <f>IF(ISNUMBER(STDEV(BF8:BF18)),STDEV(BF8:BF18),"-")</f>
        <v>0</v>
      </c>
      <c r="BG21" s="775">
        <f>IF(ISNUMBER(STDEV(BG8:BG18)),STDEV(BG8:BG18),"-")</f>
        <v>6.0075564261820549E-2</v>
      </c>
      <c r="BH21" s="776">
        <f>IF(ISNUMBER(STDEV(BH8:BH18)),STDEV(BH8:BH18),"-")</f>
        <v>3.6702591132100779</v>
      </c>
      <c r="BI21" s="249">
        <f>IF(ISNUMBER(STDEV(BI8:BI18)),STDEV(BI8:BI18),"-")</f>
        <v>6.9940713055069714E-2</v>
      </c>
      <c r="BJ21" s="230" t="str">
        <f>IF(ISNUMBER(BL21/BM21),BL21/BM21," - ")</f>
        <v xml:space="preserve"> - </v>
      </c>
      <c r="BK21" s="575"/>
      <c r="BL21" s="559">
        <f>IF(ISNUMBER(STDEV(BL8:BL18)),STDEV(BL8:BL18),"-")</f>
        <v>1.7772223083626308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SJZX+/qxhq1F/zQp44dfdGfRppQVNB53u4Lg4oKHzssLG7oNCpetJTpVzw4SZnMYNg6PeYGreEhrT5kwKRdLw==" saltValue="r8VphrdSCXyjhOPGYX1e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AMPOSTA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37</v>
      </c>
      <c r="Z10" s="619">
        <f>IF(ISNUMBER(Datos!Q10),Datos!Q10," - ")</f>
        <v>5</v>
      </c>
      <c r="AA10" s="332">
        <f>IF(ISNUMBER(Datos!L10),Datos!L10,"-")</f>
        <v>40</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23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11.891891891891893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-0.19047619047619047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1543</v>
      </c>
      <c r="AA12" s="332" t="str">
        <f>IF(ISNUMBER(IF(J_V="SI",Datos!L12,Datos!L12+Datos!AB12)-IF(Monitorios="SI",Datos!CD12,0)),
                          IF(J_V="SI",Datos!L12,Datos!L12+Datos!AB12)-IF(Monitorios="SI",Datos!CD12,0),
                          " - ")</f>
        <v xml:space="preserve"> - </v>
      </c>
      <c r="AB12" s="334"/>
      <c r="AC12" s="334"/>
      <c r="AD12" s="484"/>
      <c r="AE12" s="484">
        <f>IF(ISNUMBER(Datos!R12),Datos!R12," - ")</f>
        <v>4574</v>
      </c>
      <c r="AF12" s="229" t="str">
        <f>IF(ISNUMBER(Datos!BV12),Datos!BV12," - ")</f>
        <v xml:space="preserve"> - </v>
      </c>
      <c r="AG12" s="225" t="str">
        <f>IF(ISNUMBER(Datos!DV12),Datos!DV12," - ")</f>
        <v xml:space="preserve"> - </v>
      </c>
      <c r="AH12" s="298"/>
      <c r="AI12" s="227"/>
      <c r="AJ12" s="225">
        <f>IF(ISNUMBER(Datos!M12),Datos!M12," - ")</f>
        <v>849</v>
      </c>
      <c r="AK12" s="229">
        <f>IF(ISNUMBER(Datos!N12),Datos!N12," - ")</f>
        <v>1248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9.104769560557342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-0.11373764774268552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957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37</v>
      </c>
      <c r="Z13" s="907">
        <f t="shared" si="2"/>
        <v>1548</v>
      </c>
      <c r="AA13" s="900">
        <f t="shared" si="2"/>
        <v>40</v>
      </c>
      <c r="AB13" s="900">
        <f t="shared" si="2"/>
        <v>0</v>
      </c>
      <c r="AC13" s="900">
        <f t="shared" si="2"/>
        <v>0</v>
      </c>
      <c r="AD13" s="900">
        <f t="shared" si="2"/>
        <v>0</v>
      </c>
      <c r="AE13" s="900">
        <f t="shared" si="2"/>
        <v>4591</v>
      </c>
      <c r="AF13" s="908">
        <f t="shared" si="2"/>
        <v>0</v>
      </c>
      <c r="AG13" s="908">
        <f t="shared" si="2"/>
        <v>0</v>
      </c>
      <c r="AH13" s="908">
        <f t="shared" si="2"/>
        <v>0</v>
      </c>
      <c r="AI13" s="908">
        <f t="shared" si="2"/>
        <v>0</v>
      </c>
      <c r="AJ13" s="908">
        <f t="shared" si="2"/>
        <v>872</v>
      </c>
      <c r="AK13" s="908">
        <f t="shared" si="2"/>
        <v>1250</v>
      </c>
      <c r="AL13" s="908">
        <f t="shared" si="2"/>
        <v>0</v>
      </c>
      <c r="AM13" s="908">
        <f t="shared" si="2"/>
        <v>0</v>
      </c>
      <c r="AN13" s="908">
        <f t="shared" si="2"/>
        <v>0</v>
      </c>
      <c r="AO13" s="904">
        <f>IF(ISNUMBER(((NºAsuntos!I13/NºAsuntos!G13)*11)/factor_trimestre),((NºAsuntos!I13/NºAsuntos!G13)*11)/factor_trimestre," - ")</f>
        <v>9.1321305386044038</v>
      </c>
      <c r="AP13" s="910" t="str">
        <f>IF(ISNUMBER(Datos!CI13/Datos!CJ13),Datos!CI13/Datos!CJ13," - ")</f>
        <v xml:space="preserve"> - </v>
      </c>
      <c r="AQ13" s="928">
        <f t="shared" ref="AQ13:AV13" si="3">SUBTOTAL(9,AQ9:AQ12)</f>
        <v>0</v>
      </c>
      <c r="AR13" s="928">
        <f t="shared" si="3"/>
        <v>-0.30421383821887599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1226</v>
      </c>
      <c r="G16" s="225">
        <f>IF(ISNUMBER(IF(D_I="SI",Datos!I16,Datos!I16+Datos!AC16)),IF(D_I="SI",Datos!I16,Datos!I16+Datos!AC16)," - ")</f>
        <v>1219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4145</v>
      </c>
      <c r="Z16" s="619">
        <f>IF(ISNUMBER(Datos!Q16),Datos!Q16," - ")</f>
        <v>96</v>
      </c>
      <c r="AA16" s="332">
        <f>IF(ISNUMBER(IF(D_I="SI",Datos!L16,Datos!L16+Datos!AF16)),IF(D_I="SI",Datos!L16,Datos!L16+Datos!AF16)," - ")</f>
        <v>1393</v>
      </c>
      <c r="AB16" s="334"/>
      <c r="AC16" s="334"/>
      <c r="AD16" s="484"/>
      <c r="AE16" s="484">
        <f>IF(ISNUMBER(Datos!R16),Datos!R16," - ")</f>
        <v>125</v>
      </c>
      <c r="AF16" s="229" t="str">
        <f>IF(ISNUMBER(Datos!BV16),Datos!BV16," - ")</f>
        <v xml:space="preserve"> - </v>
      </c>
      <c r="AG16" s="225"/>
      <c r="AH16" s="298"/>
      <c r="AI16" s="227"/>
      <c r="AJ16" s="225">
        <f>IF(ISNUMBER(Datos!M16),Datos!M16," - ")</f>
        <v>623</v>
      </c>
      <c r="AK16" s="229">
        <f>IF(ISNUMBER(Datos!N16),Datos!N16," - ")</f>
        <v>2809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3.6967430639324492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311</v>
      </c>
      <c r="Z17" s="619">
        <f>IF(ISNUMBER(Datos!Q17),Datos!Q17," - ")</f>
        <v>1</v>
      </c>
      <c r="AA17" s="332">
        <f>IF(ISNUMBER(Datos!L17),Datos!L17,"-")</f>
        <v>104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39</v>
      </c>
      <c r="AK17" s="229">
        <f>IF(ISNUMBER(Datos!N17),Datos!N17," - ")</f>
        <v>205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3.678456591639871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1226</v>
      </c>
      <c r="G18" s="898">
        <f>SUBTOTAL(9,G15:G17)</f>
        <v>1329</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4456</v>
      </c>
      <c r="Z18" s="932">
        <f t="shared" si="5"/>
        <v>97</v>
      </c>
      <c r="AA18" s="932">
        <f t="shared" si="5"/>
        <v>1497</v>
      </c>
      <c r="AB18" s="932">
        <f t="shared" si="5"/>
        <v>0</v>
      </c>
      <c r="AC18" s="932">
        <f t="shared" si="5"/>
        <v>0</v>
      </c>
      <c r="AD18" s="932">
        <f t="shared" si="5"/>
        <v>0</v>
      </c>
      <c r="AE18" s="932">
        <f t="shared" si="5"/>
        <v>125</v>
      </c>
      <c r="AF18" s="932">
        <f t="shared" si="5"/>
        <v>0</v>
      </c>
      <c r="AG18" s="932">
        <f t="shared" si="5"/>
        <v>0</v>
      </c>
      <c r="AH18" s="932">
        <f t="shared" si="5"/>
        <v>0</v>
      </c>
      <c r="AI18" s="932">
        <f t="shared" si="5"/>
        <v>0</v>
      </c>
      <c r="AJ18" s="932">
        <f t="shared" si="5"/>
        <v>662</v>
      </c>
      <c r="AK18" s="932">
        <f t="shared" si="5"/>
        <v>3014</v>
      </c>
      <c r="AL18" s="932">
        <f t="shared" si="5"/>
        <v>0</v>
      </c>
      <c r="AM18" s="932">
        <f t="shared" si="5"/>
        <v>0</v>
      </c>
      <c r="AN18" s="932">
        <f t="shared" si="5"/>
        <v>0</v>
      </c>
      <c r="AO18" s="934">
        <f>IF(ISNUMBER(((NºAsuntos!I18/NºAsuntos!G18)*11)/factor_trimestre),((NºAsuntos!I18/NºAsuntos!G18)*11)/factor_trimestre," - ")</f>
        <v>3.695466786355476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1259</v>
      </c>
      <c r="G19" s="820">
        <f t="shared" si="7"/>
        <v>1362</v>
      </c>
      <c r="H19" s="821">
        <f t="shared" si="7"/>
        <v>0</v>
      </c>
      <c r="I19" s="820">
        <f t="shared" si="7"/>
        <v>0</v>
      </c>
      <c r="J19" s="822">
        <f t="shared" si="7"/>
        <v>0</v>
      </c>
      <c r="K19" s="820">
        <f t="shared" si="7"/>
        <v>0</v>
      </c>
      <c r="L19" s="823">
        <f t="shared" si="7"/>
        <v>0</v>
      </c>
      <c r="M19" s="820">
        <f t="shared" si="7"/>
        <v>0</v>
      </c>
      <c r="N19" s="821">
        <f t="shared" si="7"/>
        <v>1070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4493</v>
      </c>
      <c r="Z19" s="827">
        <f t="shared" si="8"/>
        <v>1645</v>
      </c>
      <c r="AA19" s="828">
        <f t="shared" si="8"/>
        <v>1537</v>
      </c>
      <c r="AB19" s="828">
        <f t="shared" si="8"/>
        <v>0</v>
      </c>
      <c r="AC19" s="828">
        <f t="shared" si="8"/>
        <v>0</v>
      </c>
      <c r="AD19" s="829">
        <f t="shared" si="8"/>
        <v>0</v>
      </c>
      <c r="AE19" s="829">
        <f t="shared" si="8"/>
        <v>4716</v>
      </c>
      <c r="AF19" s="830">
        <f t="shared" si="8"/>
        <v>0</v>
      </c>
      <c r="AG19" s="831">
        <f t="shared" si="8"/>
        <v>0</v>
      </c>
      <c r="AH19" s="832">
        <f t="shared" si="8"/>
        <v>0</v>
      </c>
      <c r="AI19" s="830">
        <f t="shared" si="8"/>
        <v>0</v>
      </c>
      <c r="AJ19" s="820">
        <f t="shared" si="8"/>
        <v>1534</v>
      </c>
      <c r="AK19" s="820">
        <f t="shared" si="8"/>
        <v>4264</v>
      </c>
      <c r="AL19" s="820">
        <f t="shared" si="8"/>
        <v>0</v>
      </c>
      <c r="AM19" s="833">
        <f t="shared" si="8"/>
        <v>0</v>
      </c>
      <c r="AN19" s="823">
        <f>IF(ISNUMBER(Datos!K19/Datos!J19),Datos!K19/Datos!J19," - ")</f>
        <v>0.96691711100339317</v>
      </c>
      <c r="AO19" s="823">
        <f>IF(ISNUMBER(FIND("06",Criterios!A8,1)),(IF(ISNUMBER(((Datos!R19/Datos!Q19)*11)/factor_trimestre),((Datos!R19/Datos!Q19)*11)/factor_trimestre," - ")),(IF(ISNUMBER(((Datos!L19/Datos!K19)*11)/factor_trimestre),((Datos!L19/Datos!K19)*11)/factor_trimestre," - ")))</f>
        <v>6.2506579771901238</v>
      </c>
      <c r="AP19" s="834" t="str">
        <f>IF(ISNUMBER(Datos!CI19/Datos!CJ19),Datos!CI19/Datos!CJ19," - ")</f>
        <v xml:space="preserve"> - </v>
      </c>
      <c r="AQ19" s="834">
        <f>IF(OR(ISNUMBER(FIND("01",Criterios!A8,1)),ISNUMBER(FIND("02",Criterios!A8,1)),ISNUMBER(FIND("03",Criterios!A8,1)),ISNUMBER(FIND("04",Criterios!A8,1))),(J19-Y19+K19)/(F19-K19),(I19-Y19+K19)/(F19-K19))</f>
        <v>-3.568705321683876</v>
      </c>
      <c r="AR19" s="834">
        <f>IF(ISNUMBER((Datos!P19-Datos!Q19+O19)/(Datos!R19-Datos!P19+Datos!Q19-O19)),(Datos!P19-Datos!Q19+O19)/(Datos!R19-Datos!P19+Datos!Q19-O19)," - ")</f>
        <v>-0.10867510867510867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688.77887114322357</v>
      </c>
      <c r="G21" s="552">
        <f>IF(ISNUMBER(STDEV(G8:G18)),STDEV(G8:G18),"-")</f>
        <v>667.54115977967979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384.92527413339155</v>
      </c>
      <c r="AK21" s="252"/>
      <c r="AL21" s="252">
        <f>IF(ISNUMBER(STDEV(AL8:AL18)),STDEV(AL8:AL18),"-")</f>
        <v>0</v>
      </c>
      <c r="AM21" s="254">
        <f>IF(ISNUMBER(STDEV(AM8:AM18)),STDEV(AM8:AM18),"-")</f>
        <v>0</v>
      </c>
      <c r="AN21" s="539">
        <f>IF(ISNUMBER(STDEV(AN8:AN18)),STDEV(AN8:AN18),"-")</f>
        <v>0</v>
      </c>
      <c r="AO21" s="540">
        <f>IF(ISNUMBER(STDEV(AO8:AO18)),STDEV(AO8:AO18),"-")</f>
        <v>3.6239185268053107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0cGF0/cyXs0kjWy7w0SqVS9DbkgPfwnkBb+0/IT/ZOeJOp/plFUgyXshuYVSv/cyFNtKp59ud64Dh+WfZw+OWg==" saltValue="E5OWRWPGmqOZ1wfBuD7b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UFKYD08V3QI364vBfbeKjPbVTNFr0wWXX2MsH6RK7XafeOiQXVFUdVZfufel0EmzRdmo18XHRIPVfeh5kv8TQ==" saltValue="U+Z3Nw5egqMgQ2yUEwfQ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I77uOa9y7nnG9AVvvGjObt+eKI7NtsDyDFk2sVc3Oyk6iDhC0F537irbIF4MvE+PaZ34x72ShVTOK/i86Sazg==" saltValue="6QixmKDPKS7l9YKItrxD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AMPOSTA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0.23136110374104538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0.16359700535809749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h5nVZXjQNXENTtVm0mVvx+9Gy6WklMYFYKFa9PaIRWbJjqMg6WBlcb9wzEGz207gnNWhzIgx6yF0vR7b+jLDg==" saltValue="Dcvf4J8M8xRUO1OXoxzh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T/j9Mz44UmVuWEqt522XMGgWyMqdJNKG9oq0gEkLIDB0pnB3PEL7yzPDdftnIzkjSMbbEPtH7XwbAw5oFJqWQ==" saltValue="x2Eemh0naFZVjrKh7UpX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AMPOSTA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44</v>
      </c>
      <c r="F10" s="404">
        <f>IF(ISNUMBER(E10/B10),E10/B10," - ")</f>
        <v>44</v>
      </c>
      <c r="G10" s="403">
        <f>IF(ISNUMBER(Datos!K10),Datos!K10," - ")</f>
        <v>37</v>
      </c>
      <c r="H10" s="404">
        <f>IF(ISNUMBER(G10/B10),G10/B10," - ")</f>
        <v>37</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3000</v>
      </c>
      <c r="D12" s="404">
        <f>IF(ISNUMBER(C12/Datos!BH12),C12/Datos!BH12," - ")</f>
        <v>750</v>
      </c>
      <c r="E12" s="403">
        <f>IF(ISNUMBER(IF(J_V="SI",Datos!J12,Datos!J12+Datos!Z12)),IF(J_V="SI",Datos!J12,Datos!J12+Datos!Z12)," - ")</f>
        <v>3818</v>
      </c>
      <c r="F12" s="404">
        <f>IF(ISNUMBER(E12/B12),E12/B12," - ")</f>
        <v>954.5</v>
      </c>
      <c r="G12" s="403">
        <f>IF(ISNUMBER(IF(J_V="SI",Datos!K12,Datos!K12+Datos!AA12)),IF(J_V="SI",Datos!K12,Datos!K12+Datos!AA12)," - ")</f>
        <v>3732</v>
      </c>
      <c r="H12" s="404">
        <f>IF(ISNUMBER(G12/B12),G12/B12," - ")</f>
        <v>933</v>
      </c>
      <c r="I12" s="403">
        <f>IF(ISNUMBER(IF(J_V="SI",Datos!L12,Datos!L12+Datos!AB12)),IF(J_V="SI",Datos!L12,Datos!L12+Datos!AB12)," - ")</f>
        <v>3089</v>
      </c>
      <c r="J12" s="404">
        <f>IF(ISNUMBER(I12/B12),I12/B12," - ")</f>
        <v>772.25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3033</v>
      </c>
      <c r="D13" s="850" t="str">
        <f>IF(ISNUMBER(C13/Datos!BI13),C13/Datos!BI13," - ")</f>
        <v xml:space="preserve"> - </v>
      </c>
      <c r="E13" s="849">
        <f>SUBTOTAL(9,E8:E12)</f>
        <v>3862</v>
      </c>
      <c r="F13" s="850">
        <f>IF(ISNUMBER(E13/B13),E13/B13," - ")</f>
        <v>965.5</v>
      </c>
      <c r="G13" s="849">
        <f>SUBTOTAL(9,G8:G12)</f>
        <v>3769</v>
      </c>
      <c r="H13" s="850">
        <f>IF(ISNUMBER(G13/B13),G13/B13," - ")</f>
        <v>942.25</v>
      </c>
      <c r="I13" s="849">
        <f>SUBTOTAL(9,I8:I12)</f>
        <v>3129</v>
      </c>
      <c r="J13" s="850">
        <f>IF(ISNUMBER(I13/B13),I13/B13," - ")</f>
        <v>782.25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1219</v>
      </c>
      <c r="D16" s="404">
        <f>IF(ISNUMBER(C16/Datos!BH16),C16/Datos!BH16," - ")</f>
        <v>304.75</v>
      </c>
      <c r="E16" s="403">
        <f>IF(ISNUMBER(IF(D_I="SI",Datos!J16,Datos!J16+Datos!AD16)),IF(D_I="SI",Datos!J16,Datos!J16+Datos!AD16)," - ")</f>
        <v>4312</v>
      </c>
      <c r="F16" s="404">
        <f>IF(ISNUMBER(E16/B16),E16/B16," - ")</f>
        <v>1078</v>
      </c>
      <c r="G16" s="403">
        <f>IF(ISNUMBER(IF(D_I="SI",Datos!K16,Datos!K16+Datos!AE16)),IF(D_I="SI",Datos!K16,Datos!K16+Datos!AE16)," - ")</f>
        <v>4145</v>
      </c>
      <c r="H16" s="404">
        <f>IF(ISNUMBER(G16/B16),G16/B16," - ")</f>
        <v>1036.25</v>
      </c>
      <c r="I16" s="403">
        <f>IF(ISNUMBER(IF(D_I="SI",Datos!L16,Datos!L16+Datos!AF16)),IF(D_I="SI",Datos!L16,Datos!L16+Datos!AF16)," - ")</f>
        <v>1393</v>
      </c>
      <c r="J16" s="404">
        <f>IF(ISNUMBER(I16/B16),I16/B16," - ")</f>
        <v>348.25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110</v>
      </c>
      <c r="D17" s="404">
        <f>IF(ISNUMBER(C17/Datos!BH17),C17/Datos!BH17," - ")</f>
        <v>110</v>
      </c>
      <c r="E17" s="403">
        <f>IF(ISNUMBER(IF(D_I="SI",Datos!J17,Datos!J17+Datos!AD17)),IF(D_I="SI",Datos!J17,Datos!J17+Datos!AD17)," - ")</f>
        <v>305</v>
      </c>
      <c r="F17" s="404">
        <f>IF(ISNUMBER(E17/B17),E17/B17," - ")</f>
        <v>305</v>
      </c>
      <c r="G17" s="403">
        <f>IF(ISNUMBER(IF(D_I="SI",Datos!K17,Datos!K17+Datos!AE17)),IF(D_I="SI",Datos!K17,Datos!K17+Datos!AE17)," - ")</f>
        <v>311</v>
      </c>
      <c r="H17" s="404">
        <f>IF(ISNUMBER(G17/B17),G17/B17," - ")</f>
        <v>311</v>
      </c>
      <c r="I17" s="403">
        <f>IF(ISNUMBER(IF(D_I="SI",Datos!L17,Datos!L17+Datos!AF17)),IF(D_I="SI",Datos!L17,Datos!L17+Datos!AF17)," - ")</f>
        <v>104</v>
      </c>
      <c r="J17" s="404">
        <f>IF(ISNUMBER(I17/B17),I17/B17," - ")</f>
        <v>104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1329</v>
      </c>
      <c r="D18" s="850" t="str">
        <f>IF(ISNUMBER(C18/Datos!BI18),C18/Datos!BI18," - ")</f>
        <v xml:space="preserve"> - </v>
      </c>
      <c r="E18" s="849">
        <f>SUBTOTAL(9,E14:E17)</f>
        <v>4617</v>
      </c>
      <c r="F18" s="850">
        <f>IF(ISNUMBER(E18/B18),E18/B18," - ")</f>
        <v>1154.25</v>
      </c>
      <c r="G18" s="849">
        <f>SUBTOTAL(9,G14:G17)</f>
        <v>4456</v>
      </c>
      <c r="H18" s="850">
        <f>IF(ISNUMBER(G18/B18),G18/B18," - ")</f>
        <v>1114</v>
      </c>
      <c r="I18" s="849">
        <f>SUBTOTAL(9,I14:I17)</f>
        <v>1497</v>
      </c>
      <c r="J18" s="850">
        <f>IF(ISNUMBER(I18/B18),I18/B18," - ")</f>
        <v>374.25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4362</v>
      </c>
      <c r="D19" s="795" t="str">
        <f>IF(ISNUMBER(C19/Datos!BI19),C19/Datos!BI19," - ")</f>
        <v xml:space="preserve"> - </v>
      </c>
      <c r="E19" s="794">
        <f>SUBTOTAL(9,E9:E18)</f>
        <v>8479</v>
      </c>
      <c r="F19" s="795">
        <f>IF(ISNUMBER(E19/B19),E19/B19," - ")</f>
        <v>2119.75</v>
      </c>
      <c r="G19" s="794">
        <f>SUBTOTAL(9,G9:G18)</f>
        <v>8225</v>
      </c>
      <c r="H19" s="795">
        <f>IF(ISNUMBER(G19/B19),G19/B19," - ")</f>
        <v>2056.25</v>
      </c>
      <c r="I19" s="794">
        <f>SUBTOTAL(9,I9:I18)</f>
        <v>4626</v>
      </c>
      <c r="J19" s="795">
        <f>IF(ISNUMBER(I19/B19),I19/B19," - ")</f>
        <v>1156.5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IIwm2pmgTe7Dzv8Mcryn4q5uycT4lZL1Sy4vrye5nyCd1Bo4LR/8hn14SPfDmoR/GdUReJoy8ra+v+XYOR4GiA==" saltValue="Uaxg0SAw/Brob2WkSrPu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AMPOSTA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37</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11.891891891891893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849</v>
      </c>
      <c r="AM12" s="690">
        <f>IF(ISNUMBER(Datos!N12+DatosP!N16),Datos!N12+DatosP!N16," - ")</f>
        <v>1248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9.104769560557342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-0.11373764774268552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957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37</v>
      </c>
      <c r="AC13" s="939">
        <f t="shared" si="1"/>
        <v>0</v>
      </c>
      <c r="AD13" s="939">
        <f t="shared" si="1"/>
        <v>1543</v>
      </c>
      <c r="AE13" s="939">
        <f t="shared" si="1"/>
        <v>0</v>
      </c>
      <c r="AF13" s="939">
        <f t="shared" si="1"/>
        <v>40</v>
      </c>
      <c r="AG13" s="939">
        <f t="shared" si="1"/>
        <v>0</v>
      </c>
      <c r="AH13" s="939">
        <f t="shared" si="1"/>
        <v>4574</v>
      </c>
      <c r="AI13" s="939">
        <f t="shared" si="1"/>
        <v>0</v>
      </c>
      <c r="AJ13" s="939">
        <f t="shared" si="1"/>
        <v>0</v>
      </c>
      <c r="AK13" s="939">
        <f t="shared" si="1"/>
        <v>0</v>
      </c>
      <c r="AL13" s="939">
        <f t="shared" si="1"/>
        <v>872</v>
      </c>
      <c r="AM13" s="939">
        <f t="shared" si="1"/>
        <v>1250</v>
      </c>
      <c r="AN13" s="939">
        <f t="shared" si="1"/>
        <v>0</v>
      </c>
      <c r="AO13" s="939">
        <f t="shared" si="1"/>
        <v>0</v>
      </c>
      <c r="AP13" s="944">
        <f>IF(ISNUMBER(((Datos!L13/Datos!K13)*11)/factor_trimestre),((Datos!L13/Datos!K13)*11)/factor_trimestre," - ")</f>
        <v>9.4825432869713318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-1.1212121212121211</v>
      </c>
      <c r="AU13" s="939" t="str">
        <f>IF(ISNUMBER((DatosP!#REF!-DatosP!#REF!+DatosP!#REF!)/(DatosP!#REF!+DatosP!#REF!-DatosP!#REF!-DatosP!#REF!)),(DatosP!#REF!-DatosP!#REF!+DatosP!#REF!)/(DatosP!#REF!+DatosP!#REF!-DatosP!#REF!-DatosP!#REF!)," - ")</f>
        <v xml:space="preserve"> - </v>
      </c>
      <c r="AV13" s="945">
        <f>SUBTOTAL(9,AV9:AV12)</f>
        <v>-0.11373764774268552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3.695466786355476</v>
      </c>
      <c r="AQ18" s="944">
        <f>IF(ISNUMBER(((Datos!M18/Datos!L18)*11)/factor_trimestre),((Datos!M18/Datos!L18)*11)/factor_trimestre," - ")</f>
        <v>4.8643954575818302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0.14678899082568808</v>
      </c>
      <c r="AW18" s="946">
        <f>IF(ISNUMBER((Datos!Q18-Datos!R18)/(Datos!S18-Datos!Q18+Datos!R18)),(Datos!Q18-Datos!R18)/(Datos!S18-Datos!Q18+Datos!R18)," - ")</f>
        <v>-2.2950819672131147E-2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957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37</v>
      </c>
      <c r="AC19" s="957">
        <f t="shared" si="5"/>
        <v>0</v>
      </c>
      <c r="AD19" s="957">
        <f t="shared" si="5"/>
        <v>1543</v>
      </c>
      <c r="AE19" s="957">
        <f t="shared" si="5"/>
        <v>0</v>
      </c>
      <c r="AF19" s="958">
        <f t="shared" si="5"/>
        <v>40</v>
      </c>
      <c r="AG19" s="958">
        <f t="shared" si="5"/>
        <v>0</v>
      </c>
      <c r="AH19" s="958">
        <f t="shared" si="5"/>
        <v>4574</v>
      </c>
      <c r="AI19" s="958">
        <f t="shared" si="5"/>
        <v>0</v>
      </c>
      <c r="AJ19" s="959">
        <f t="shared" si="5"/>
        <v>0</v>
      </c>
      <c r="AK19" s="959">
        <f t="shared" si="5"/>
        <v>0</v>
      </c>
      <c r="AL19" s="951">
        <f t="shared" si="5"/>
        <v>872</v>
      </c>
      <c r="AM19" s="951">
        <f t="shared" si="5"/>
        <v>1250</v>
      </c>
      <c r="AN19" s="951">
        <f t="shared" si="5"/>
        <v>0</v>
      </c>
      <c r="AO19" s="951">
        <f t="shared" si="5"/>
        <v>0</v>
      </c>
      <c r="AP19" s="951">
        <f>IF(ISNUMBER(((Datos!L19/Datos!K19)*11)/factor_trimestre),((Datos!L19/Datos!K19)*11)/factor_trimestre," - ")</f>
        <v>6.2506579771901238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-1.1212121212121211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-0.10867510867510867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21.361959960016154</v>
      </c>
      <c r="AC21" s="738">
        <f>IF(ISNUMBER(STDEV(AC8:AC18)),STDEV(AC8:AC18),"-")</f>
        <v>0</v>
      </c>
      <c r="AD21" s="741"/>
      <c r="AE21" s="741"/>
      <c r="AF21" s="741"/>
      <c r="AG21" s="741"/>
      <c r="AH21" s="741"/>
      <c r="AI21" s="741"/>
      <c r="AJ21" s="742">
        <f>IF(ISNUMBER(STDEV(AJ8:AJ18)),STDEV(AJ8:AJ18),"-")</f>
        <v>0</v>
      </c>
      <c r="AK21" s="744"/>
      <c r="AL21" s="736">
        <f>IF(ISNUMBER(STDEV(AL8:AL18)),STDEV(AL8:AL18),"-")</f>
        <v>490.35021498244839</v>
      </c>
      <c r="AM21" s="736"/>
      <c r="AN21" s="736">
        <f>IF(ISNUMBER(STDEV(AN8:AN18)),STDEV(AN8:AN18),"-")</f>
        <v>0</v>
      </c>
      <c r="AO21" s="742">
        <f>IF(ISNUMBER(STDEV(AO8:AO18)),STDEV(AO8:AO18),"-")</f>
        <v>0</v>
      </c>
      <c r="AP21" s="779">
        <f>IF(ISNUMBER(STDEV(AP8:AP18)),STDEV(AP8:AP18),"-")</f>
        <v>3.4598641593741464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4yKEirAx1VFOsMNQWvo8dUovdfRrcRDYv+Nqo+6+TKXq6bAFhmzYIYJUanV/rz4MlmMuu2rL3orY9/eZke8qQ==" saltValue="TJNat7vKC+eKZTb2l+7K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AMPOSTA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WXTmpM000hbLMpf/J5Gs9y5BDG5n3mKAk9AfzGPkUhPDHli3EmbkRTLlwmznQAsxvwBQHX1erN3WnG/Tv43sA==" saltValue="DhguqVifG8vWTltjtV/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AMPOSTA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23</v>
      </c>
      <c r="E10" s="404">
        <f>IF(ISNUMBER(D10/B10),D10/B10," - ")</f>
        <v>23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849</v>
      </c>
      <c r="E12" s="404">
        <f t="shared" si="0"/>
        <v>212.25</v>
      </c>
      <c r="F12" s="403">
        <f>IF(ISNUMBER(Datos!N12),Datos!N12," - ")</f>
        <v>1248</v>
      </c>
      <c r="G12" s="404">
        <f t="shared" si="1"/>
        <v>312</v>
      </c>
      <c r="H12" s="403">
        <f>IF(ISNUMBER(Datos!O12),Datos!O12," - ")</f>
        <v>1496</v>
      </c>
      <c r="I12" s="404">
        <f t="shared" si="2"/>
        <v>374</v>
      </c>
      <c r="BZ12" s="1186">
        <f>Datos!EZ12</f>
        <v>0</v>
      </c>
    </row>
    <row r="13" spans="1:78" ht="14.25" thickTop="1" thickBot="1">
      <c r="A13" s="848" t="str">
        <f>Datos!A13</f>
        <v>TOTAL</v>
      </c>
      <c r="B13" s="849">
        <f>Datos!AP13</f>
        <v>4</v>
      </c>
      <c r="C13" s="851">
        <f>Datos!AR13</f>
        <v>4</v>
      </c>
      <c r="D13" s="849">
        <f>SUBTOTAL(9,D9:D12)</f>
        <v>872</v>
      </c>
      <c r="E13" s="850">
        <f t="shared" si="0"/>
        <v>218</v>
      </c>
      <c r="F13" s="849">
        <f>SUBTOTAL(9,F9:F12)</f>
        <v>1250</v>
      </c>
      <c r="G13" s="850">
        <f t="shared" si="1"/>
        <v>312.5</v>
      </c>
      <c r="H13" s="849">
        <f>SUBTOTAL(9,H9:H12)</f>
        <v>1496</v>
      </c>
      <c r="I13" s="850">
        <f>IF(ISNUMBER(H13/B13),H13/B13," - ")</f>
        <v>374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623</v>
      </c>
      <c r="E16" s="404">
        <f t="shared" si="3"/>
        <v>155.75</v>
      </c>
      <c r="F16" s="403">
        <f>IF(ISNUMBER(Datos!N16),Datos!N16," - ")</f>
        <v>2809</v>
      </c>
      <c r="G16" s="404">
        <f t="shared" si="4"/>
        <v>702.25</v>
      </c>
      <c r="H16" s="403">
        <f>IF(ISNUMBER(Datos!O16),Datos!O16," - ")</f>
        <v>46</v>
      </c>
      <c r="I16" s="404">
        <f t="shared" si="5"/>
        <v>11.5</v>
      </c>
      <c r="BZ16" s="1186">
        <f>Datos!EZ16</f>
        <v>0</v>
      </c>
    </row>
    <row r="17" spans="1:78" ht="13.5" thickBot="1">
      <c r="A17" s="402" t="str">
        <f>Datos!A17</f>
        <v>Jdos. Violencia contra la mujer</v>
      </c>
      <c r="B17" s="427">
        <f>Datos!AO17</f>
        <v>1</v>
      </c>
      <c r="C17" s="428">
        <f>Datos!AQ17</f>
        <v>0</v>
      </c>
      <c r="D17" s="403">
        <f>IF(ISNUMBER(Datos!M17),Datos!M17," - ")</f>
        <v>39</v>
      </c>
      <c r="E17" s="404">
        <f>IF(ISNUMBER(D17/B17),D17/B17," - ")</f>
        <v>39</v>
      </c>
      <c r="F17" s="403">
        <f>IF(ISNUMBER(Datos!N17),Datos!N17," - ")</f>
        <v>205</v>
      </c>
      <c r="G17" s="404">
        <f>IF(ISNUMBER(F17/B17),F17/B17," - ")</f>
        <v>205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662</v>
      </c>
      <c r="E18" s="850">
        <f t="shared" si="3"/>
        <v>165.5</v>
      </c>
      <c r="F18" s="849">
        <f>SUBTOTAL(9,F15:F17)</f>
        <v>3014</v>
      </c>
      <c r="G18" s="850">
        <f t="shared" si="4"/>
        <v>753.5</v>
      </c>
      <c r="H18" s="849">
        <f>SUBTOTAL(9,H15:H17)</f>
        <v>46</v>
      </c>
      <c r="I18" s="850">
        <f>IF(ISNUMBER(H18/B18),H18/B18," - ")</f>
        <v>11.5</v>
      </c>
      <c r="BZ18" s="1186"/>
    </row>
    <row r="19" spans="1:78" ht="14.25" thickTop="1" thickBot="1">
      <c r="A19" s="793" t="str">
        <f>Datos!A19</f>
        <v>TOTAL JURISDICCIONES</v>
      </c>
      <c r="B19" s="794">
        <f>Datos!AP19</f>
        <v>4</v>
      </c>
      <c r="C19" s="794">
        <f>Datos!AR19</f>
        <v>4</v>
      </c>
      <c r="D19" s="794">
        <f>SUBTOTAL(9,D8:D18)</f>
        <v>1534</v>
      </c>
      <c r="E19" s="795">
        <f>IF(ISNUMBER(D19/B19),D19/B19," - ")</f>
        <v>383.5</v>
      </c>
      <c r="F19" s="794">
        <f>SUBTOTAL(9,F8:F18)</f>
        <v>4264</v>
      </c>
      <c r="G19" s="795">
        <f>IF(ISNUMBER(F19/B19),F19/B19," - ")</f>
        <v>1066</v>
      </c>
      <c r="H19" s="794">
        <f>SUBTOTAL(9,H8:H18)</f>
        <v>1542</v>
      </c>
      <c r="I19" s="795">
        <f>IF(ISNUMBER(H19/B19),H19/B19," - ")</f>
        <v>385.5</v>
      </c>
    </row>
    <row r="22" spans="1:78">
      <c r="A22" s="391" t="str">
        <f>Criterios!A4</f>
        <v>Fecha Informe: 28 feb. 2025</v>
      </c>
    </row>
    <row r="27" spans="1:78">
      <c r="A27" s="414"/>
    </row>
  </sheetData>
  <sheetProtection algorithmName="SHA-512" hashValue="y+kmMdURIpHc5fcWv3Mx89DeZDJ0nnR7E1+vhV+aNaIRllq68GG6exxCCiCSqLp6Md6F5bP1tXQcGKbmRh7q0g==" saltValue="KFvPrCGpkgP1FYWLp6xC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AMPOSTA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5</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956</v>
      </c>
      <c r="C12" s="434">
        <f>IF(ISNUMBER(Datos!Q12),Datos!Q12," - ")</f>
        <v>1543</v>
      </c>
      <c r="D12" s="408">
        <f>IF(ISNUMBER(Datos!R12),Datos!R12," - ")</f>
        <v>4574</v>
      </c>
    </row>
    <row r="13" spans="1:4" ht="14.25" thickTop="1" thickBot="1">
      <c r="A13" s="848" t="str">
        <f>Datos!A13</f>
        <v>TOTAL</v>
      </c>
      <c r="B13" s="849">
        <f>SUBTOTAL(9,B9:B12)</f>
        <v>957</v>
      </c>
      <c r="C13" s="853">
        <f>SUBTOTAL(9,C9:C12)</f>
        <v>1548</v>
      </c>
      <c r="D13" s="851">
        <f>SUBTOTAL(9,D9:D12)</f>
        <v>4591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113</v>
      </c>
      <c r="C16" s="434">
        <f>IF(ISNUMBER(Datos!Q16),Datos!Q16," - ")</f>
        <v>96</v>
      </c>
      <c r="D16" s="408">
        <f>IF(ISNUMBER(Datos!R16),Datos!R16," - ")</f>
        <v>125</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113</v>
      </c>
      <c r="C18" s="853">
        <f>SUBTOTAL(9,C15:C17)</f>
        <v>97</v>
      </c>
      <c r="D18" s="851">
        <f>SUBTOTAL(9,D15:D17)</f>
        <v>125</v>
      </c>
    </row>
    <row r="19" spans="1:4" ht="16.5" customHeight="1" thickTop="1" thickBot="1">
      <c r="A19" s="793" t="str">
        <f>Datos!A19</f>
        <v>TOTAL JURISDICCIONES</v>
      </c>
      <c r="B19" s="798">
        <f>SUBTOTAL(9,B8:B18)</f>
        <v>1070</v>
      </c>
      <c r="C19" s="799">
        <f>SUBTOTAL(9,C8:C18)</f>
        <v>1645</v>
      </c>
      <c r="D19" s="800">
        <f>SUBTOTAL(9,D8:D18)</f>
        <v>4716</v>
      </c>
    </row>
    <row r="20" spans="1:4" ht="7.5" customHeight="1"/>
    <row r="21" spans="1:4" ht="6" customHeight="1"/>
    <row r="22" spans="1:4">
      <c r="A22" s="391" t="str">
        <f>Criterios!A4</f>
        <v>Fecha Informe: 28 feb. 2025</v>
      </c>
    </row>
    <row r="27" spans="1:4">
      <c r="A27" s="414"/>
    </row>
  </sheetData>
  <sheetProtection algorithmName="SHA-512" hashValue="i1UpCHNz4ahE7FA94j1nN8/ygJPA+JBLAQl70yh2kO3CiH7nLwy6ORHuUZ51InNnk8AzkLixK+Cv/knD1h1d+A==" saltValue="AIVcCG8T5dzismi6orMD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AMPOSTA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0.12820512820512819</v>
      </c>
      <c r="D10" s="456">
        <f>IF(ISNUMBER((Datos!K10-Datos!U10)/Datos!U10),(Datos!K10-Datos!U10)/Datos!U10," - ")</f>
        <v>0.32142857142857145</v>
      </c>
      <c r="E10" s="456">
        <f>IF(ISNUMBER((Datos!L10-Datos!V10)/Datos!V10),(Datos!L10-Datos!V10)/Datos!V10," - ")</f>
        <v>0.21212121212121213</v>
      </c>
      <c r="F10" s="456">
        <f>IF(ISNUMBER((Datos!M10-Datos!W10)/Datos!W10),(Datos!M10-Datos!W10)/Datos!W10," - ")</f>
        <v>0.53333333333333333</v>
      </c>
      <c r="G10" s="457">
        <f>IF(ISNUMBER((Datos!N10-Datos!X10)/Datos!X10),(Datos!N10-Datos!X10)/Datos!X10," - ")</f>
        <v>-0.84615384615384615</v>
      </c>
      <c r="H10" s="455">
        <f>IF(ISNUMBER(((NºAsuntos!G10/NºAsuntos!E10)-Datos!BD10)/Datos!BD10),((NºAsuntos!G10/NºAsuntos!E10)-Datos!BD10)/Datos!BD10," - ")</f>
        <v>0.17126623376623382</v>
      </c>
      <c r="I10" s="456">
        <f>IF(ISNUMBER(((NºAsuntos!I10/NºAsuntos!G10)-Datos!BE10)/Datos!BE10),((NºAsuntos!I10/NºAsuntos!G10)-Datos!BE10)/Datos!BE10," - ")</f>
        <v>-8.2719082719082695E-2</v>
      </c>
      <c r="J10" s="461">
        <f>IF(ISNUMBER((('Resol  Asuntos'!D10/NºAsuntos!G10)-Datos!BF10)/Datos!BF10),(('Resol  Asuntos'!D10/NºAsuntos!G10)-Datos!BF10)/Datos!BF10," - ")</f>
        <v>0.16036036036036036</v>
      </c>
      <c r="K10" s="462">
        <f>IF(ISNUMBER((((NºAsuntos!C10+NºAsuntos!E10)/NºAsuntos!G10)-Datos!BG10)/Datos!BG10),(((NºAsuntos!C10+NºAsuntos!E10)/NºAsuntos!G10)-Datos!BG10)/Datos!BG10," - ")</f>
        <v>-4.4749667700487258E-2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0.22950819672131148</v>
      </c>
      <c r="C12" s="456">
        <f>IF(ISNUMBER(
   IF(J_V="SI",(Datos!J12-Datos!T12)/Datos!T12,(Datos!J12+Datos!Z12-(Datos!T12+Datos!AH12))/(Datos!T12+Datos!AH12))
     ),IF(J_V="SI",(Datos!J12-Datos!T12)/Datos!T12,(Datos!J12+Datos!Z12-(Datos!T12+Datos!AH12))/(Datos!T12+Datos!AH12))," - ")</f>
        <v>-6.5132223310479923E-2</v>
      </c>
      <c r="D12" s="456">
        <f>IF(ISNUMBER(
   IF(J_V="SI",(Datos!K12-Datos!U12)/Datos!U12,(Datos!K12+Datos!AA12-(Datos!U12+Datos!AI12))/(Datos!U12+Datos!AI12))
     ),IF(J_V="SI",(Datos!K12-Datos!U12)/Datos!U12,(Datos!K12+Datos!AA12-(Datos!U12+Datos!AI12))/(Datos!U12+Datos!AI12))," - ")</f>
        <v>6.6285714285714281E-2</v>
      </c>
      <c r="E12" s="456">
        <f>IF(ISNUMBER(
   IF(J_V="SI",(Datos!L12-Datos!V12)/Datos!V12,(Datos!L12+Datos!AB12-(Datos!V12+Datos!AJ12))/(Datos!V12+Datos!AJ12))
     ),IF(J_V="SI",(Datos!L12-Datos!V12)/Datos!V12,(Datos!L12+Datos!AB12-(Datos!V12+Datos!AJ12))/(Datos!V12+Datos!AJ12))," - ")</f>
        <v>2.9666666666666668E-2</v>
      </c>
      <c r="F12" s="456">
        <f>IF(ISNUMBER((Datos!M12-Datos!W12)/Datos!W12),(Datos!M12-Datos!W12)/Datos!W12," - ")</f>
        <v>0.20596590909090909</v>
      </c>
      <c r="G12" s="457">
        <f>IF(ISNUMBER((Datos!N12-Datos!X12)/Datos!X12),(Datos!N12-Datos!X12)/Datos!X12," - ")</f>
        <v>6.4516129032258064E-3</v>
      </c>
      <c r="H12" s="455">
        <f>IF(ISNUMBER(((NºAsuntos!G12/NºAsuntos!E12)-Datos!BD12)/Datos!BD12),((NºAsuntos!G12/NºAsuntos!E12)-Datos!BD12)/Datos!BD12," - ")</f>
        <v>0.14057382324328363</v>
      </c>
      <c r="I12" s="456">
        <f>IF(ISNUMBER(((NºAsuntos!I12/NºAsuntos!G12)-Datos!BE12)/Datos!BE12),((NºAsuntos!I12/NºAsuntos!G12)-Datos!BE12)/Datos!BE12," - ")</f>
        <v>-3.4342622365130304E-2</v>
      </c>
      <c r="J12" s="461">
        <f>IF(ISNUMBER((('Resol  Asuntos'!D12/NºAsuntos!G12)-Datos!BF12)/Datos!BF12),(('Resol  Asuntos'!D12/NºAsuntos!G12)-Datos!BF12)/Datos!BF12," - ")</f>
        <v>-0.35788559278083182</v>
      </c>
      <c r="K12" s="462">
        <f>IF(ISNUMBER((((NºAsuntos!C12+NºAsuntos!E12)/NºAsuntos!G12)-Datos!BG12)/Datos!BG12),(((NºAsuntos!C12+NºAsuntos!E12)/NºAsuntos!G12)-Datos!BG12)/Datos!BG12," - ")</f>
        <v>-1.9902110962376259E-2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0.23192526401299757</v>
      </c>
      <c r="C13" s="855">
        <f>IF(ISNUMBER(
   IF(J_V="SI",(Datos!J13-Datos!T13)/Datos!T13,(Datos!J13+Datos!Z13-(Datos!T13+Datos!AH13))/(Datos!T13+Datos!AH13))
     ),IF(J_V="SI",(Datos!J13-Datos!T13)/Datos!T13,(Datos!J13+Datos!Z13-(Datos!T13+Datos!AH13))/(Datos!T13+Datos!AH13))," - ")</f>
        <v>-6.3303419839922381E-2</v>
      </c>
      <c r="D13" s="855">
        <f>IF(ISNUMBER(
   IF(J_V="SI",(Datos!K13-Datos!U13)/Datos!U13,(Datos!K13+Datos!AA13-(Datos!U13+Datos!AI13))/(Datos!U13+Datos!AI13))
     ),IF(J_V="SI",(Datos!K13-Datos!U13)/Datos!U13,(Datos!K13+Datos!AA13-(Datos!U13+Datos!AI13))/(Datos!U13+Datos!AI13))," - ")</f>
        <v>6.8310657596371879E-2</v>
      </c>
      <c r="E13" s="855">
        <f>IF(ISNUMBER(
   IF(J_V="SI",(Datos!L13-Datos!V13)/Datos!V13,(Datos!L13+Datos!AB13-(Datos!V13+Datos!AJ13))/(Datos!V13+Datos!AJ13))
     ),IF(J_V="SI",(Datos!L13-Datos!V13)/Datos!V13,(Datos!L13+Datos!AB13-(Datos!V13+Datos!AJ13))/(Datos!V13+Datos!AJ13))," - ")</f>
        <v>3.165182987141444E-2</v>
      </c>
      <c r="F13" s="856">
        <f>IF(ISNUMBER((Datos!M13-Datos!W13)/Datos!W13),(Datos!M13-Datos!W13)/Datos!W13," - ")</f>
        <v>0.21279554937413073</v>
      </c>
      <c r="G13" s="857">
        <f>IF(ISNUMBER((Datos!N13-Datos!X13)/Datos!X13),(Datos!N13-Datos!X13)/Datos!X13," - ")</f>
        <v>-2.3942537909018356E-3</v>
      </c>
      <c r="H13" s="857">
        <f>IF(ISNUMBER(((NºAsuntos!G13/NºAsuntos!E13)-Datos!BD13)/Datos!BD13),((NºAsuntos!G13/NºAsuntos!E13)-Datos!BD13)/Datos!BD13," - ")</f>
        <v>0.14050876262813086</v>
      </c>
      <c r="I13" s="857">
        <f>IF(ISNUMBER(((NºAsuntos!I13/NºAsuntos!G13)-Datos!BE13)/Datos!BE13),((NºAsuntos!I13/NºAsuntos!G13)-Datos!BE13)/Datos!BE13," - ")</f>
        <v>-3.4314763654457417E-2</v>
      </c>
      <c r="J13" s="857">
        <f>IF(ISNUMBER((('Resol  Asuntos'!D13/NºAsuntos!G13)-Datos!BF13)/Datos!BF13),(('Resol  Asuntos'!D13/NºAsuntos!G13)-Datos!BF13)/Datos!BF13," - ")</f>
        <v>-0.34960798884588995</v>
      </c>
      <c r="K13" s="857">
        <f>IF(ISNUMBER((((NºAsuntos!C13+NºAsuntos!E13)/NºAsuntos!G13)-Datos!BG13)/Datos!BG13),(((NºAsuntos!C13+NºAsuntos!E13)/NºAsuntos!G13)-Datos!BG13)/Datos!BG13," - ")</f>
        <v>-1.9876211099903184E-2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0.12246777163904236</v>
      </c>
      <c r="C16" s="456">
        <f>IF(ISNUMBER(
   IF(D_I="SI",(Datos!J16-Datos!T16)/Datos!T16,(Datos!J16+Datos!AD16-(Datos!T16+Datos!AL16))/(Datos!T16+Datos!AL16))
     ),IF(D_I="SI",(Datos!J16-Datos!T16)/Datos!T16,(Datos!J16+Datos!AD16-(Datos!T16+Datos!AL16))/(Datos!T16+Datos!AL16))," - ")</f>
        <v>2.4958402662229616E-2</v>
      </c>
      <c r="D16" s="456">
        <f>IF(ISNUMBER(
   IF(D_I="SI",(Datos!K16-Datos!U16)/Datos!U16,(Datos!K16+Datos!AE16-(Datos!U16+Datos!AM16))/(Datos!U16+Datos!AM16))
     ),IF(D_I="SI",(Datos!K16-Datos!U16)/Datos!U16,(Datos!K16+Datos!AE16-(Datos!U16+Datos!AM16))/(Datos!U16+Datos!AM16))," - ")</f>
        <v>1.6180436381466046E-2</v>
      </c>
      <c r="E16" s="456">
        <f>IF(ISNUMBER(
   IF(D_I="SI",(Datos!L16-Datos!V16)/Datos!V16,(Datos!L16+Datos!AF16-(Datos!V16+Datos!AN16))/(Datos!V16+Datos!AN16))
     ),IF(D_I="SI",(Datos!L16-Datos!V16)/Datos!V16,(Datos!L16+Datos!AF16-(Datos!V16+Datos!AN16))/(Datos!V16+Datos!AN16))," - ")</f>
        <v>0.14273995077932733</v>
      </c>
      <c r="F16" s="456">
        <f>IF(ISNUMBER((Datos!M16-Datos!W16)/Datos!W16),(Datos!M16-Datos!W16)/Datos!W16," - ")</f>
        <v>3.833333333333333E-2</v>
      </c>
      <c r="G16" s="457">
        <f>IF(ISNUMBER((Datos!N16-Datos!X16)/Datos!X16),(Datos!N16-Datos!X16)/Datos!X16," - ")</f>
        <v>1.0795250089960417E-2</v>
      </c>
      <c r="H16" s="455">
        <f>IF(ISNUMBER(((NºAsuntos!G16/NºAsuntos!E16)-Datos!BD16)/Datos!BD16),((NºAsuntos!G16/NºAsuntos!E16)-Datos!BD16)/Datos!BD16," - ")</f>
        <v>-8.5642171018489137E-3</v>
      </c>
      <c r="I16" s="456">
        <f>IF(ISNUMBER(((NºAsuntos!I16/NºAsuntos!G16)-Datos!BE16)/Datos!BE16),((NºAsuntos!I16/NºAsuntos!G16)-Datos!BE16)/Datos!BE16," - ")</f>
        <v>0.12454433274520543</v>
      </c>
      <c r="J16" s="461">
        <f>IF(ISNUMBER((('Resol  Asuntos'!D16/NºAsuntos!G16)-Datos!BF16)/Datos!BF16),(('Resol  Asuntos'!D16/NºAsuntos!G16)-Datos!BF16)/Datos!BF16," - ")</f>
        <v>2.1800160836349156E-2</v>
      </c>
      <c r="K16" s="462">
        <f>IF(ISNUMBER((((NºAsuntos!C16+NºAsuntos!E16)/NºAsuntos!G16)-Datos!BG16)/Datos!BG16),(((NºAsuntos!C16+NºAsuntos!E16)/NºAsuntos!G16)-Datos!BG16)/Datos!BG16," - ")</f>
        <v>2.8326280220342438E-2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3.7735849056603772E-2</v>
      </c>
      <c r="C17" s="456">
        <f>IF(ISNUMBER(
   IF(D_I="SI",(Datos!J17-Datos!T17)/Datos!T17,(Datos!J17+Datos!AD17-(Datos!T17+Datos!AL17))/(Datos!T17+Datos!AL17))
     ),IF(D_I="SI",(Datos!J17-Datos!T17)/Datos!T17,(Datos!J17+Datos!AD17-(Datos!T17+Datos!AL17))/(Datos!T17+Datos!AL17))," - ")</f>
        <v>-8.9552238805970144E-2</v>
      </c>
      <c r="D17" s="456">
        <f>IF(ISNUMBER(
   IF(D_I="SI",(Datos!K17-Datos!U17)/Datos!U17,(Datos!K17+Datos!AE17-(Datos!U17+Datos!AM17))/(Datos!U17+Datos!AM17))
     ),IF(D_I="SI",(Datos!K17-Datos!U17)/Datos!U17,(Datos!K17+Datos!AE17-(Datos!U17+Datos!AM17))/(Datos!U17+Datos!AM17))," - ")</f>
        <v>-6.0422960725075532E-2</v>
      </c>
      <c r="E17" s="456">
        <f>IF(ISNUMBER(
   IF(D_I="SI",(Datos!L17-Datos!V17)/Datos!V17,(Datos!L17+Datos!AF17-(Datos!V17+Datos!AN17))/(Datos!V17+Datos!AN17))
     ),IF(D_I="SI",(Datos!L17-Datos!V17)/Datos!V17,(Datos!L17+Datos!AF17-(Datos!V17+Datos!AN17))/(Datos!V17+Datos!AN17))," - ")</f>
        <v>-5.4545454545454543E-2</v>
      </c>
      <c r="F17" s="456">
        <f>IF(ISNUMBER((Datos!M17-Datos!W17)/Datos!W17),(Datos!M17-Datos!W17)/Datos!W17," - ")</f>
        <v>0</v>
      </c>
      <c r="G17" s="457">
        <f>IF(ISNUMBER((Datos!N17-Datos!X17)/Datos!X17),(Datos!N17-Datos!X17)/Datos!X17," - ")</f>
        <v>-0.12393162393162394</v>
      </c>
      <c r="H17" s="455">
        <f>IF(ISNUMBER(((NºAsuntos!G17/NºAsuntos!E17)-Datos!BD17)/Datos!BD17),((NºAsuntos!G17/NºAsuntos!E17)-Datos!BD17)/Datos!BD17," - ")</f>
        <v>3.1994452974097358E-2</v>
      </c>
      <c r="I17" s="456">
        <f>IF(ISNUMBER(((NºAsuntos!I17/NºAsuntos!G17)-Datos!BE17)/Datos!BE17),((NºAsuntos!I17/NºAsuntos!G17)-Datos!BE17)/Datos!BE17," - ")</f>
        <v>6.2554808535515358E-3</v>
      </c>
      <c r="J17" s="461">
        <f>IF(ISNUMBER((('Resol  Asuntos'!D17/NºAsuntos!G17)-Datos!BF17)/Datos!BF17),(('Resol  Asuntos'!D17/NºAsuntos!G17)-Datos!BF17)/Datos!BF17," - ")</f>
        <v>6.430868167202565E-2</v>
      </c>
      <c r="K17" s="462">
        <f>IF(ISNUMBER((((NºAsuntos!C17+NºAsuntos!E17)/NºAsuntos!G17)-Datos!BG17)/Datos!BG17),(((NºAsuntos!C17+NºAsuntos!E17)/NºAsuntos!G17)-Datos!BG17)/Datos!BG17," - ")</f>
        <v>1.5603240224279042E-3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0.11493288590604027</v>
      </c>
      <c r="C18" s="855">
        <f>IF(ISNUMBER(
   IF(Criterios!B14="SI",(Datos!J18-Datos!T18)/Datos!T18,(Datos!J18+Datos!AD18-(Datos!T18+Datos!AL18))/(Datos!T18+Datos!AL18))
     ),IF(Criterios!B14="SI",(Datos!J18-Datos!T18)/Datos!T18,(Datos!J18+Datos!AD18-(Datos!T18+Datos!AL18))/(Datos!T18+Datos!AL18))," - ")</f>
        <v>1.6512549537648614E-2</v>
      </c>
      <c r="D18" s="855">
        <f>IF(ISNUMBER(
   IF(Criterios!B14="SI",(Datos!K18-Datos!U18)/Datos!U18,(Datos!K18+Datos!AE18-(Datos!U18+Datos!AM18))/(Datos!U18+Datos!AM18))
     ),IF(Criterios!B14="SI",(Datos!K18-Datos!U18)/Datos!U18,(Datos!K18+Datos!AE18-(Datos!U18+Datos!AM18))/(Datos!U18+Datos!AM18))," - ")</f>
        <v>1.0430839002267574E-2</v>
      </c>
      <c r="E18" s="855">
        <f>IF(ISNUMBER(
   IF(Criterios!B14="SI",(Datos!L18-Datos!V18)/Datos!V18,(Datos!L18+Datos!AF18-(Datos!V18+Datos!AN18))/(Datos!V18+Datos!AN18))
     ),IF(Criterios!B14="SI",(Datos!L18-Datos!V18)/Datos!V18,(Datos!L18+Datos!AF18-(Datos!V18+Datos!AN18))/(Datos!V18+Datos!AN18))," - ")</f>
        <v>0.12641083521444696</v>
      </c>
      <c r="F18" s="856">
        <f>IF(ISNUMBER((Datos!M18-Datos!W18)/Datos!W18),(Datos!M18-Datos!W18)/Datos!W18," - ")</f>
        <v>3.5993740219092331E-2</v>
      </c>
      <c r="G18" s="857">
        <f>IF(ISNUMBER((Datos!N18-Datos!X18)/Datos!X18),(Datos!N18-Datos!X18)/Datos!X18," - ")</f>
        <v>3.3189512114171923E-4</v>
      </c>
      <c r="H18" s="857">
        <f>IF(ISNUMBER(((NºAsuntos!G18/NºAsuntos!E18)-Datos!BD18)/Datos!BD18),((NºAsuntos!G18/NºAsuntos!E18)-Datos!BD18)/Datos!BD18," - ")</f>
        <v>-5.9829173168075974E-3</v>
      </c>
      <c r="I18" s="857">
        <f>IF(ISNUMBER(((NºAsuntos!I18/NºAsuntos!G18)-Datos!BE18)/Datos!BE18),((NºAsuntos!I18/NºAsuntos!G18)-Datos!BE18)/Datos!BE18," - ")</f>
        <v>0.11478271617946829</v>
      </c>
      <c r="J18" s="857">
        <f>IF(ISNUMBER((('Resol  Asuntos'!D18/NºAsuntos!G18)-Datos!BF18)/Datos!BF18),(('Resol  Asuntos'!D18/NºAsuntos!G18)-Datos!BF18)/Datos!BF18," - ")</f>
        <v>2.5299011303006561E-2</v>
      </c>
      <c r="K18" s="857">
        <f>IF(ISNUMBER((((NºAsuntos!C18+NºAsuntos!E18)/NºAsuntos!G18)-Datos!BG18)/Datos!BG18),(((NºAsuntos!C18+NºAsuntos!E18)/NºAsuntos!G18)-Datos!BG18)/Datos!BG18," - ")</f>
        <v>2.6267612821940241E-2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0.19376026272577998</v>
      </c>
      <c r="C19" s="802">
        <f>IF(ISNUMBER(
   IF(J_V="SI",(Datos!J19-Datos!T19)/Datos!T19,(Datos!J19+Datos!Z19-(Datos!T19+Datos!AH19))/(Datos!T19+Datos!AH19))
     ),IF(J_V="SI",(Datos!J19-Datos!T19)/Datos!T19,(Datos!J19+Datos!Z19-(Datos!T19+Datos!AH19))/(Datos!T19+Datos!AH19))," - ")</f>
        <v>-2.1465666474321986E-2</v>
      </c>
      <c r="D19" s="802">
        <f>IF(ISNUMBER(
   IF(J_V="SI",(Datos!K19-Datos!U19)/Datos!U19,(Datos!K19+Datos!AA19-(Datos!U19+Datos!AI19))/(Datos!U19+Datos!AI19))
     ),IF(J_V="SI",(Datos!K19-Datos!U19)/Datos!U19,(Datos!K19+Datos!AA19-(Datos!U19+Datos!AI19))/(Datos!U19+Datos!AI19))," - ")</f>
        <v>3.6155202821869487E-2</v>
      </c>
      <c r="E19" s="802">
        <f>IF(ISNUMBER(
   IF(J_V="SI",(Datos!L19-Datos!V19)/Datos!V19,(Datos!L19+Datos!AB19-(Datos!V19+Datos!AJ19))/(Datos!V19+Datos!AJ19))
     ),IF(J_V="SI",(Datos!L19-Datos!V19)/Datos!V19,(Datos!L19+Datos!AB19-(Datos!V19+Datos!AJ19))/(Datos!V19+Datos!AJ19))," - ")</f>
        <v>6.0522696011004129E-2</v>
      </c>
      <c r="F19" s="803">
        <f>IF(ISNUMBER((Datos!M19-Datos!W19)/Datos!W19),(Datos!M19-Datos!W19)/Datos!W19," - ")</f>
        <v>0.12960235640648013</v>
      </c>
      <c r="G19" s="804">
        <f>IF(ISNUMBER((Datos!N19-Datos!X19)/Datos!X19),(Datos!N19-Datos!X19)/Datos!X19," - ")</f>
        <v>-4.6882325363338024E-4</v>
      </c>
      <c r="H19" s="805">
        <f>IF(ISNUMBER((Tasas!B19-Datos!BD19)/Datos!BD19),(Tasas!B19-Datos!BD19)/Datos!BD19," - ")</f>
        <v>5.8884872325922696E-2</v>
      </c>
      <c r="I19" s="806">
        <f>IF(ISNUMBER((Tasas!C19-Datos!BE19)/Datos!BE19),(Tasas!C19-Datos!BE19)/Datos!BE19," - ")</f>
        <v>2.3517223214024437E-2</v>
      </c>
      <c r="J19" s="807">
        <f>IF(ISNUMBER((Tasas!D19-Datos!BF19)/Datos!BF19),(Tasas!D19-Datos!BF19)/Datos!BF19," - ")</f>
        <v>-0.21833516816823567</v>
      </c>
      <c r="K19" s="807">
        <f>IF(ISNUMBER((Tasas!E19-Datos!BG19)/Datos!BG19),(Tasas!E19-Datos!BG19)/Datos!BG19," - ")</f>
        <v>6.0013851635513094E-3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U8TnptfQ9qO21Zd9QiErfJss0mF0xHXOmr1SX9/KwRhAog+R+EqPe0Z5QB2d/q9seKfi5BmqCcQ52cpLnKD9w==" saltValue="INWFypfDow187XCTMCr/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AMPOSTA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0.84090909090909094</v>
      </c>
      <c r="C10" s="443">
        <f>IF(ISNUMBER(NºAsuntos!I10/NºAsuntos!G10),NºAsuntos!I10/NºAsuntos!G10," - ")</f>
        <v>1.0810810810810811</v>
      </c>
      <c r="D10" s="444">
        <f>IF(ISNUMBER('Resol  Asuntos'!D10/NºAsuntos!G10),'Resol  Asuntos'!D10/NºAsuntos!G10," - ")</f>
        <v>0.6216216216216216</v>
      </c>
      <c r="E10" s="445">
        <f>IF(ISNUMBER((NºAsuntos!C10+NºAsuntos!E10)/NºAsuntos!G10),(NºAsuntos!C10+NºAsuntos!E10)/NºAsuntos!G10," - ")</f>
        <v>2.0810810810810811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0.97747511786275532</v>
      </c>
      <c r="C12" s="443">
        <f>IF(ISNUMBER(NºAsuntos!I12/NºAsuntos!G12),NºAsuntos!I12/NºAsuntos!G12," - ")</f>
        <v>0.82770632368703112</v>
      </c>
      <c r="D12" s="444">
        <f>IF(ISNUMBER('Resol  Asuntos'!D12/NºAsuntos!G12),'Resol  Asuntos'!D12/NºAsuntos!G12," - ")</f>
        <v>0.227491961414791</v>
      </c>
      <c r="E12" s="445">
        <f>IF(ISNUMBER((NºAsuntos!C12+NºAsuntos!E12)/NºAsuntos!G12),(NºAsuntos!C12+NºAsuntos!E12)/NºAsuntos!G12," - ")</f>
        <v>1.8269024651661308</v>
      </c>
      <c r="G12" s="463"/>
    </row>
    <row r="13" spans="1:7" ht="14.25" thickTop="1" thickBot="1">
      <c r="A13" s="848" t="str">
        <f>Datos!A13</f>
        <v>TOTAL</v>
      </c>
      <c r="B13" s="858">
        <f>IF(ISNUMBER(NºAsuntos!G13/NºAsuntos!E13),NºAsuntos!G13/NºAsuntos!E13," - ")</f>
        <v>0.97591921284308647</v>
      </c>
      <c r="C13" s="859">
        <f>IF(ISNUMBER(NºAsuntos!I13/NºAsuntos!G13),NºAsuntos!I13/NºAsuntos!G13," - ")</f>
        <v>0.83019368532767313</v>
      </c>
      <c r="D13" s="860">
        <f>IF(ISNUMBER('Resol  Asuntos'!D13/NºAsuntos!G13),'Resol  Asuntos'!D13/NºAsuntos!G13," - ")</f>
        <v>0.23136110374104538</v>
      </c>
      <c r="E13" s="861">
        <f>IF(ISNUMBER((NºAsuntos!C13+NºAsuntos!E13)/NºAsuntos!G13),(NºAsuntos!C13+NºAsuntos!E13)/NºAsuntos!G13," - ")</f>
        <v>1.8293977182276466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0.9612708719851577</v>
      </c>
      <c r="C16" s="443">
        <f>IF(ISNUMBER(NºAsuntos!I16/NºAsuntos!G16),NºAsuntos!I16/NºAsuntos!G16," - ")</f>
        <v>0.33606755126658627</v>
      </c>
      <c r="D16" s="444">
        <f>IF(ISNUMBER('Resol  Asuntos'!D16/NºAsuntos!G16),'Resol  Asuntos'!D16/NºAsuntos!G16," - ")</f>
        <v>0.1503015681544029</v>
      </c>
      <c r="E16" s="445">
        <f>IF(ISNUMBER((NºAsuntos!C16+NºAsuntos!E16)/NºAsuntos!G16),(NºAsuntos!C16+NºAsuntos!E16)/NºAsuntos!G16," - ")</f>
        <v>1.33437876960193</v>
      </c>
      <c r="G16" s="463"/>
    </row>
    <row r="17" spans="1:7" ht="13.5" thickBot="1">
      <c r="A17" s="402" t="str">
        <f>Datos!A17</f>
        <v>Jdos. Violencia contra la mujer</v>
      </c>
      <c r="B17" s="442">
        <f>IF(ISNUMBER(NºAsuntos!G17/NºAsuntos!E17),NºAsuntos!G17/NºAsuntos!E17," - ")</f>
        <v>1.019672131147541</v>
      </c>
      <c r="C17" s="443">
        <f>IF(ISNUMBER(NºAsuntos!I17/NºAsuntos!G17),NºAsuntos!I17/NºAsuntos!G17," - ")</f>
        <v>0.33440514469453375</v>
      </c>
      <c r="D17" s="444">
        <f>IF(ISNUMBER('Resol  Asuntos'!D17/NºAsuntos!G17),'Resol  Asuntos'!D17/NºAsuntos!G17," - ")</f>
        <v>0.12540192926045016</v>
      </c>
      <c r="E17" s="445">
        <f>IF(ISNUMBER((NºAsuntos!C17+NºAsuntos!E17)/NºAsuntos!G17),(NºAsuntos!C17+NºAsuntos!E17)/NºAsuntos!G17," - ")</f>
        <v>1.3344051446945338</v>
      </c>
      <c r="G17" s="463"/>
    </row>
    <row r="18" spans="1:7" ht="14.25" thickTop="1" thickBot="1">
      <c r="A18" s="848" t="str">
        <f>Datos!A18</f>
        <v>TOTAL</v>
      </c>
      <c r="B18" s="858">
        <f>IF(ISNUMBER(NºAsuntos!G18/NºAsuntos!E18),NºAsuntos!G18/NºAsuntos!E18," - ")</f>
        <v>0.96512887156162008</v>
      </c>
      <c r="C18" s="859">
        <f>IF(ISNUMBER(NºAsuntos!I18/NºAsuntos!G18),NºAsuntos!I18/NºAsuntos!G18," - ")</f>
        <v>0.33595152603231598</v>
      </c>
      <c r="D18" s="862">
        <f>IF(ISNUMBER('Resol  Asuntos'!D18/NºAsuntos!G18),'Resol  Asuntos'!D18/NºAsuntos!G18," - ")</f>
        <v>0.1485637342908438</v>
      </c>
      <c r="E18" s="861">
        <f>IF(ISNUMBER((NºAsuntos!C18+NºAsuntos!E18)/NºAsuntos!G18),(NºAsuntos!C18+NºAsuntos!E18)/NºAsuntos!G18," - ")</f>
        <v>1.3343806104129263</v>
      </c>
      <c r="G18" s="463"/>
    </row>
    <row r="19" spans="1:7" ht="15.75" customHeight="1" thickTop="1" thickBot="1">
      <c r="A19" s="793" t="str">
        <f>Datos!A19</f>
        <v>TOTAL JURISDICCIONES</v>
      </c>
      <c r="B19" s="808">
        <f>IF(ISNUMBER(NºAsuntos!G19/NºAsuntos!E19),NºAsuntos!G19/NºAsuntos!E19," - ")</f>
        <v>0.97004363722137044</v>
      </c>
      <c r="C19" s="809">
        <f>IF(ISNUMBER(NºAsuntos!I19/NºAsuntos!G19),NºAsuntos!I19/NºAsuntos!G19," - ")</f>
        <v>0.56243161094224925</v>
      </c>
      <c r="D19" s="810">
        <f>IF(ISNUMBER('Resol  Asuntos'!D19/NºAsuntos!G19),'Resol  Asuntos'!D19/NºAsuntos!G19," - ")</f>
        <v>0.18650455927051671</v>
      </c>
      <c r="E19" s="811">
        <f>IF(ISNUMBER((NºAsuntos!C19+NºAsuntos!E19)/NºAsuntos!G19),(NºAsuntos!C19+NºAsuntos!E19)/NºAsuntos!G19," - ")</f>
        <v>1.5612158054711247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kT/xmVq28DoMp1YkamZPyShPb9vH1y3Unr8X9Jp2IiquKF5err/RTiW1+FTu2m8xC9MxaeMZjXq13XGj+tV8w==" saltValue="ItYUndsW9w084oN1wS+U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AMPOSTA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37</v>
      </c>
      <c r="X10" s="226">
        <f>IF(ISNUMBER(Datos!Q10),Datos!Q10," - ")</f>
        <v>5</v>
      </c>
      <c r="Y10" s="334">
        <f t="shared" ref="Y10:Y12" si="0">SUM(W10:X10)</f>
        <v>42</v>
      </c>
      <c r="Z10" s="335" t="str">
        <f>IF(ISNUMBER(Datos!CC10),Datos!CC10," - ")</f>
        <v xml:space="preserve"> - </v>
      </c>
      <c r="AA10" s="332">
        <f>IF(ISNUMBER(Datos!L10),Datos!L10,"-")</f>
        <v>40</v>
      </c>
      <c r="AB10" s="334">
        <f>IF(ISNUMBER(Datos!R10),Datos!R10," - ")</f>
        <v>17</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0.84090909090909094</v>
      </c>
      <c r="AM10" s="260">
        <f>IF(ISNUMBER(((NºAsuntos!I10/NºAsuntos!G10)*11)/factor_trimestre),((NºAsuntos!I10/NºAsuntos!G10)*11)/factor_trimestre," - ")</f>
        <v>11.891891891891893</v>
      </c>
      <c r="AN10" s="244">
        <f>IF(ISNUMBER('Resol  Asuntos'!D10/NºAsuntos!G10),'Resol  Asuntos'!D10/NºAsuntos!G10," - ")</f>
        <v>0.6216216216216216</v>
      </c>
      <c r="AO10" s="245">
        <f>IF(ISNUMBER((NºAsuntos!C10+NºAsuntos!E10)/NºAsuntos!G10),(NºAsuntos!C10+NºAsuntos!E10)/NºAsuntos!G10," - ")</f>
        <v>2.0810810810810811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1543</v>
      </c>
      <c r="Y12" s="334">
        <f t="shared" si="0"/>
        <v>1543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849</v>
      </c>
      <c r="AJ12" s="229" t="str">
        <f>IF(ISNUMBER(Datos!BW12),Datos!BW12," - ")</f>
        <v xml:space="preserve"> - </v>
      </c>
      <c r="AK12" s="228" t="str">
        <f>IF(ISNUMBER(Datos!BX12),Datos!BX12," - ")</f>
        <v xml:space="preserve"> - </v>
      </c>
      <c r="AL12" s="243">
        <f>IF(ISNUMBER(NºAsuntos!G12/NºAsuntos!E12),NºAsuntos!G12/NºAsuntos!E12," - ")</f>
        <v>0.97747511786275532</v>
      </c>
      <c r="AM12" s="260">
        <f>IF(ISNUMBER(((NºAsuntos!I12/NºAsuntos!G12)*11)/factor_trimestre),((NºAsuntos!I12/NºAsuntos!G12)*11)/factor_trimestre," - ")</f>
        <v>9.104769560557342</v>
      </c>
      <c r="AN12" s="244">
        <f>IF(ISNUMBER('Resol  Asuntos'!D12/NºAsuntos!G12),'Resol  Asuntos'!D12/NºAsuntos!G12," - ")</f>
        <v>0.227491961414791</v>
      </c>
      <c r="AO12" s="245">
        <f>IF(ISNUMBER((NºAsuntos!C12+NºAsuntos!E12)/NºAsuntos!G12),(NºAsuntos!C12+NºAsuntos!E12)/NºAsuntos!G12," - ")</f>
        <v>1.8269024651661308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33</v>
      </c>
      <c r="G13" s="866">
        <f t="shared" si="3"/>
        <v>33</v>
      </c>
      <c r="H13" s="865">
        <f t="shared" si="3"/>
        <v>0</v>
      </c>
      <c r="I13" s="867">
        <f t="shared" si="3"/>
        <v>0</v>
      </c>
      <c r="J13" s="867">
        <f t="shared" si="3"/>
        <v>0</v>
      </c>
      <c r="K13" s="867">
        <f t="shared" si="3"/>
        <v>0</v>
      </c>
      <c r="L13" s="867">
        <f t="shared" si="3"/>
        <v>957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37</v>
      </c>
      <c r="X13" s="867">
        <f t="shared" si="4"/>
        <v>1548</v>
      </c>
      <c r="Y13" s="868">
        <f t="shared" si="4"/>
        <v>1585</v>
      </c>
      <c r="Z13" s="868">
        <f t="shared" si="4"/>
        <v>0</v>
      </c>
      <c r="AA13" s="868">
        <f t="shared" si="4"/>
        <v>40</v>
      </c>
      <c r="AB13" s="868">
        <f t="shared" si="4"/>
        <v>4591</v>
      </c>
      <c r="AC13" s="868">
        <f t="shared" si="4"/>
        <v>57</v>
      </c>
      <c r="AD13" s="868">
        <f t="shared" si="4"/>
        <v>0</v>
      </c>
      <c r="AE13" s="872">
        <f t="shared" si="4"/>
        <v>0</v>
      </c>
      <c r="AF13" s="865">
        <f t="shared" si="4"/>
        <v>0</v>
      </c>
      <c r="AG13" s="873">
        <f t="shared" si="4"/>
        <v>0</v>
      </c>
      <c r="AH13" s="870">
        <f t="shared" si="4"/>
        <v>0</v>
      </c>
      <c r="AI13" s="865">
        <f t="shared" si="4"/>
        <v>872</v>
      </c>
      <c r="AJ13" s="867">
        <f t="shared" si="4"/>
        <v>0</v>
      </c>
      <c r="AK13" s="870">
        <f>SUBTOTAL(9,AK9:AK12)</f>
        <v>0</v>
      </c>
      <c r="AL13" s="874">
        <f>IF(ISNUMBER(NºAsuntos!G13/NºAsuntos!E13),NºAsuntos!G13/NºAsuntos!E13," - ")</f>
        <v>0.97591921284308647</v>
      </c>
      <c r="AM13" s="874">
        <f>IF(ISNUMBER(((NºAsuntos!I13/NºAsuntos!G13)*11)/factor_trimestre),((NºAsuntos!I13/NºAsuntos!G13)*11)/factor_trimestre," - ")</f>
        <v>9.1321305386044038</v>
      </c>
      <c r="AN13" s="875">
        <f>IF(ISNUMBER('Resol  Asuntos'!D13/NºAsuntos!G13),'Resol  Asuntos'!D13/NºAsuntos!G13," - ")</f>
        <v>0.23136110374104538</v>
      </c>
      <c r="AO13" s="876">
        <f>IF(ISNUMBER((NºAsuntos!C13+NºAsuntos!E13)/NºAsuntos!G13),(NºAsuntos!C13+NºAsuntos!E13)/NºAsuntos!G13," - ")</f>
        <v>1.8293977182276466</v>
      </c>
      <c r="AP13" s="877" t="str">
        <f t="shared" si="2"/>
        <v xml:space="preserve"> - </v>
      </c>
      <c r="AQ13" s="877">
        <f>IF(ISNUMBER((H13-W13+K13)/(F13)),(H13-W13+K13)/(F13)," - ")</f>
        <v>-1.1212121212121211</v>
      </c>
      <c r="AR13" s="878">
        <f>IF(ISNUMBER((Datos!P13-Datos!Q13)/(Datos!R13-Datos!P13+Datos!Q13)),(Datos!P13-Datos!Q13)/(Datos!R13-Datos!P13+Datos!Q13)," - ")</f>
        <v>-0.11404862987263605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1226</v>
      </c>
      <c r="G16" s="333">
        <f>IF(ISNUMBER(IF(D_I="SI",Datos!I16,Datos!I16+Datos!AC16)),IF(D_I="SI",Datos!I16,Datos!I16+Datos!AC16)," - ")</f>
        <v>1219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4145</v>
      </c>
      <c r="X16" s="226">
        <f>IF(ISNUMBER(Datos!Q16),Datos!Q16," - ")</f>
        <v>96</v>
      </c>
      <c r="Y16" s="334">
        <f t="shared" ref="Y16:Y17" si="7">SUM(W16:X16)</f>
        <v>4241</v>
      </c>
      <c r="Z16" s="335" t="str">
        <f>IF(ISNUMBER(Datos!CC16),Datos!CC16," - ")</f>
        <v xml:space="preserve"> - </v>
      </c>
      <c r="AA16" s="332">
        <f>IF(ISNUMBER(IF(D_I="SI",Datos!L16,Datos!L16+Datos!AF16)),IF(D_I="SI",Datos!L16,Datos!L16+Datos!AF16)," - ")</f>
        <v>1393</v>
      </c>
      <c r="AB16" s="334">
        <f>IF(ISNUMBER(Datos!R16),Datos!R16," - ")</f>
        <v>125</v>
      </c>
      <c r="AC16" s="334">
        <f t="shared" si="6"/>
        <v>1518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623</v>
      </c>
      <c r="AJ16" s="231" t="str">
        <f>IF(ISNUMBER(Datos!BW16),Datos!BW16," - ")</f>
        <v xml:space="preserve"> - </v>
      </c>
      <c r="AK16" s="232" t="str">
        <f>IF(ISNUMBER(Datos!BX16),Datos!BX16," - ")</f>
        <v xml:space="preserve"> - </v>
      </c>
      <c r="AL16" s="243">
        <f>IF(ISNUMBER(NºAsuntos!G16/NºAsuntos!E16),NºAsuntos!G16/NºAsuntos!E16," - ")</f>
        <v>0.9612708719851577</v>
      </c>
      <c r="AM16" s="260">
        <f>IF(ISNUMBER(((NºAsuntos!I16/NºAsuntos!G16)*11)/factor_trimestre),((NºAsuntos!I16/NºAsuntos!G16)*11)/factor_trimestre," - ")</f>
        <v>3.6967430639324492</v>
      </c>
      <c r="AN16" s="244">
        <f>IF(ISNUMBER('Resol  Asuntos'!D16/NºAsuntos!G16),'Resol  Asuntos'!D16/NºAsuntos!G16," - ")</f>
        <v>0.1503015681544029</v>
      </c>
      <c r="AO16" s="245">
        <f>IF(ISNUMBER((NºAsuntos!C16+NºAsuntos!E16)/NºAsuntos!G16),(NºAsuntos!C16+NºAsuntos!E16)/NºAsuntos!G16," - ")</f>
        <v>1.33437876960193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311</v>
      </c>
      <c r="X17" s="226">
        <f>IF(ISNUMBER(Datos!Q17),Datos!Q17," - ")</f>
        <v>1</v>
      </c>
      <c r="Y17" s="334">
        <f t="shared" si="7"/>
        <v>312</v>
      </c>
      <c r="Z17" s="335" t="str">
        <f>IF(ISNUMBER(Datos!CC17),Datos!CC17," - ")</f>
        <v xml:space="preserve"> - </v>
      </c>
      <c r="AA17" s="332">
        <f>IF(ISNUMBER(Datos!L17),Datos!L17,"-")</f>
        <v>104</v>
      </c>
      <c r="AB17" s="334">
        <f>IF(ISNUMBER(Datos!R17),Datos!R17," - ")</f>
        <v>0</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1.019672131147541</v>
      </c>
      <c r="AM17" s="260">
        <f>IF(ISNUMBER(((NºAsuntos!I17/NºAsuntos!G17)*11)/factor_trimestre),((NºAsuntos!I17/NºAsuntos!G17)*11)/factor_trimestre," - ")</f>
        <v>3.678456591639871</v>
      </c>
      <c r="AN17" s="244">
        <f>IF(ISNUMBER('Resol  Asuntos'!D17/NºAsuntos!G17),'Resol  Asuntos'!D17/NºAsuntos!G17," - ")</f>
        <v>0.12540192926045016</v>
      </c>
      <c r="AO17" s="245">
        <f>IF(ISNUMBER((NºAsuntos!C17+NºAsuntos!E17)/NºAsuntos!G17),(NºAsuntos!C17+NºAsuntos!E17)/NºAsuntos!G17," - ")</f>
        <v>1.3344051446945338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1226</v>
      </c>
      <c r="G18" s="866">
        <f>SUBTOTAL(9,G15:G17)</f>
        <v>1329</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4456</v>
      </c>
      <c r="X18" s="867">
        <f t="shared" si="11"/>
        <v>97</v>
      </c>
      <c r="Y18" s="868">
        <f t="shared" si="11"/>
        <v>4553</v>
      </c>
      <c r="Z18" s="868">
        <f t="shared" si="11"/>
        <v>0</v>
      </c>
      <c r="AA18" s="868">
        <f t="shared" si="11"/>
        <v>1497</v>
      </c>
      <c r="AB18" s="868">
        <f t="shared" si="11"/>
        <v>125</v>
      </c>
      <c r="AC18" s="868">
        <f t="shared" si="11"/>
        <v>1622</v>
      </c>
      <c r="AD18" s="868">
        <f t="shared" si="11"/>
        <v>0</v>
      </c>
      <c r="AE18" s="872">
        <f t="shared" si="11"/>
        <v>0</v>
      </c>
      <c r="AF18" s="865">
        <f t="shared" si="11"/>
        <v>0</v>
      </c>
      <c r="AG18" s="873">
        <f t="shared" si="11"/>
        <v>0</v>
      </c>
      <c r="AH18" s="870">
        <f t="shared" si="11"/>
        <v>0</v>
      </c>
      <c r="AI18" s="865">
        <f t="shared" si="11"/>
        <v>662</v>
      </c>
      <c r="AJ18" s="867">
        <f t="shared" si="11"/>
        <v>0</v>
      </c>
      <c r="AK18" s="870">
        <f t="shared" si="11"/>
        <v>0</v>
      </c>
      <c r="AL18" s="874">
        <f>IF(ISNUMBER(NºAsuntos!G18/NºAsuntos!E18),NºAsuntos!G18/NºAsuntos!E18," - ")</f>
        <v>0.96512887156162008</v>
      </c>
      <c r="AM18" s="874">
        <f>IF(ISNUMBER(((NºAsuntos!I18/NºAsuntos!G18)*11)/factor_trimestre),((NºAsuntos!I18/NºAsuntos!G18)*11)/factor_trimestre," - ")</f>
        <v>3.695466786355476</v>
      </c>
      <c r="AN18" s="875">
        <f>IF(ISNUMBER('Resol  Asuntos'!D18/NºAsuntos!G18),'Resol  Asuntos'!D18/NºAsuntos!G18," - ")</f>
        <v>0.1485637342908438</v>
      </c>
      <c r="AO18" s="876">
        <f>IF(ISNUMBER((NºAsuntos!C18+NºAsuntos!E18)/NºAsuntos!G18),(NºAsuntos!C18+NºAsuntos!E18)/NºAsuntos!G18," - ")</f>
        <v>1.3343806104129263</v>
      </c>
      <c r="AP18" s="877" t="str">
        <f t="shared" si="2"/>
        <v xml:space="preserve"> - </v>
      </c>
      <c r="AQ18" s="877">
        <f>IF(ISNUMBER((H18-W18+K18)/(F18)),(H18-W18+K18)/(F18)," - ")</f>
        <v>-3.6345840130505711</v>
      </c>
      <c r="AR18" s="878">
        <f>IF(ISNUMBER((Datos!P18-Datos!Q18)/(Datos!R18-Datos!P18+Datos!Q18)),(Datos!P18-Datos!Q18)/(Datos!R18-Datos!P18+Datos!Q18)," - ")</f>
        <v>0.14678899082568808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1259</v>
      </c>
      <c r="G19" s="821">
        <f t="shared" si="13"/>
        <v>1362</v>
      </c>
      <c r="H19" s="820">
        <f t="shared" si="13"/>
        <v>0</v>
      </c>
      <c r="I19" s="822">
        <f t="shared" si="13"/>
        <v>0</v>
      </c>
      <c r="J19" s="822">
        <f t="shared" si="13"/>
        <v>0</v>
      </c>
      <c r="K19" s="881">
        <f t="shared" si="13"/>
        <v>0</v>
      </c>
      <c r="L19" s="822">
        <f t="shared" si="13"/>
        <v>1070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4493</v>
      </c>
      <c r="X19" s="821">
        <f t="shared" si="14"/>
        <v>1645</v>
      </c>
      <c r="Y19" s="828">
        <f t="shared" si="14"/>
        <v>6138</v>
      </c>
      <c r="Z19" s="828">
        <f t="shared" si="14"/>
        <v>0</v>
      </c>
      <c r="AA19" s="828">
        <f t="shared" si="14"/>
        <v>1537</v>
      </c>
      <c r="AB19" s="828">
        <f t="shared" si="14"/>
        <v>4716</v>
      </c>
      <c r="AC19" s="828">
        <f t="shared" si="14"/>
        <v>1679</v>
      </c>
      <c r="AD19" s="828">
        <f t="shared" si="14"/>
        <v>0</v>
      </c>
      <c r="AE19" s="830">
        <f t="shared" si="14"/>
        <v>0</v>
      </c>
      <c r="AF19" s="831">
        <f t="shared" si="14"/>
        <v>0</v>
      </c>
      <c r="AG19" s="832">
        <f t="shared" si="14"/>
        <v>0</v>
      </c>
      <c r="AH19" s="830">
        <f t="shared" si="14"/>
        <v>0</v>
      </c>
      <c r="AI19" s="820">
        <f t="shared" si="14"/>
        <v>1534</v>
      </c>
      <c r="AJ19" s="820">
        <f t="shared" si="14"/>
        <v>0</v>
      </c>
      <c r="AK19" s="830">
        <f t="shared" si="14"/>
        <v>0</v>
      </c>
      <c r="AL19" s="884">
        <f>IF(ISNUMBER(NºAsuntos!G19/NºAsuntos!E19),NºAsuntos!G19/NºAsuntos!E19," - ")</f>
        <v>0.97004363722137044</v>
      </c>
      <c r="AM19" s="885">
        <f>IF(ISNUMBER(((NºAsuntos!I19/NºAsuntos!G19)*11)/factor_trimestre),((NºAsuntos!I19/NºAsuntos!G19)*11)/factor_trimestre," - ")</f>
        <v>6.1867477203647416</v>
      </c>
      <c r="AN19" s="885">
        <f>IF(ISNUMBER('Resol  Asuntos'!D19/NºAsuntos!G19),'Resol  Asuntos'!D19/NºAsuntos!G19," - ")</f>
        <v>0.18650455927051671</v>
      </c>
      <c r="AO19" s="886">
        <f>IF(ISNUMBER((NºAsuntos!C19+NºAsuntos!E19)/NºAsuntos!G19),(NºAsuntos!C19+NºAsuntos!E19)/NºAsuntos!G19," - ")</f>
        <v>1.5612158054711247</v>
      </c>
      <c r="AP19" s="887" t="str">
        <f t="shared" si="2"/>
        <v xml:space="preserve"> - </v>
      </c>
      <c r="AQ19" s="888">
        <f>IF(OR(ISNUMBER(FIND("01",Criterios!A8,1)),ISNUMBER(FIND("02",Criterios!A8,1)),ISNUMBER(FIND("03",Criterios!A8,1)),ISNUMBER(FIND("04",Criterios!A8,1))),(I19-W19+K19)/(F19-K19),(H19-W19+K19)/(F19-K19))</f>
        <v>-3.568705321683876</v>
      </c>
      <c r="AR19" s="889">
        <f>IF(ISNUMBER((Datos!P19-Datos!Q19)/(Datos!R19-Datos!P19+Datos!Q19)),(Datos!P19-Datos!Q19)/(Datos!R19-Datos!P19+Datos!Q19)," - ")</f>
        <v>-0.10867510867510867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688.77887114322357</v>
      </c>
      <c r="G21" s="253">
        <f>IF(ISNUMBER(STDEV(G8:G18)),STDEV(G8:G18),"-")</f>
        <v>667.54115977967979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2290.5665674675338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384.92527413339155</v>
      </c>
      <c r="AJ21" s="252">
        <f t="shared" si="18"/>
        <v>0</v>
      </c>
      <c r="AK21" s="254">
        <f t="shared" si="18"/>
        <v>0</v>
      </c>
      <c r="AL21" s="249">
        <f t="shared" si="18"/>
        <v>6.0441610201784797E-2</v>
      </c>
      <c r="AM21" s="250">
        <f t="shared" si="18"/>
        <v>3.6239185268053107</v>
      </c>
      <c r="AN21" s="250">
        <f t="shared" si="18"/>
        <v>0.18692601468232273</v>
      </c>
      <c r="AO21" s="251">
        <f t="shared" si="18"/>
        <v>0.32981927998585914</v>
      </c>
      <c r="AP21" s="291" t="str">
        <f t="shared" si="18"/>
        <v>-</v>
      </c>
      <c r="AQ21" s="292">
        <f t="shared" si="18"/>
        <v>1.7772223083626308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WHxttMQqF0NHwXM7GdHxNkvFBgIh8ZzOacyg6gcw3qZDoScBHYX3hlU5FqySJ7PbmkfIvFquhuz+OilpbdRA==" saltValue="E2110c8WVz9klQOlXJWq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AMPOSTA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0.12820512820512819</v>
      </c>
      <c r="F10" s="348">
        <f>IF(ISNUMBER((Datos!K10-Datos!U10)/Datos!U10),(Datos!K10-Datos!U10)/Datos!U10," - ")</f>
        <v>0.32142857142857145</v>
      </c>
      <c r="G10" s="349">
        <f>IF(ISNUMBER((Datos!L10-Datos!V10)/Datos!V10),(Datos!L10-Datos!V10)/Datos!V10," - ")</f>
        <v>0.21212121212121213</v>
      </c>
      <c r="H10" s="230">
        <f>IF(ISNUMBER((Datos!M10-Datos!W10)/Datos!W10),(Datos!M10-Datos!W10)/Datos!W10," - ")</f>
        <v>0.53333333333333333</v>
      </c>
      <c r="I10" s="350">
        <f>IF(ISNUMBER((Tasas!C10-Datos!BE10)/Datos!BE10),(Tasas!C10-Datos!BE10)/Datos!BE10," - ")</f>
        <v>-8.2719082719082695E-2</v>
      </c>
      <c r="J10" s="349">
        <f>IF(ISNUMBER((Tasas!D10-Datos!BF10)/Datos!BF10),(Tasas!D10-Datos!BF10)/Datos!BF10," - ")</f>
        <v>0.16036036036036036</v>
      </c>
      <c r="K10" s="351">
        <f>IF(ISNUMBER((Tasas!E10-Datos!BG10)/Datos!BG10),(Tasas!E10-Datos!BG10)/Datos!BG10," - ")</f>
        <v>-4.4749667700487258E-2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0.20596590909090909</v>
      </c>
      <c r="I12" s="350">
        <f>IF(ISNUMBER((Tasas!C12-Datos!BE12)/Datos!BE12),(Tasas!C12-Datos!BE12)/Datos!BE12," - ")</f>
        <v>-3.4342622365130304E-2</v>
      </c>
      <c r="J12" s="349">
        <f>IF(ISNUMBER((Tasas!D12-Datos!BF12)/Datos!BF12),(Tasas!D12-Datos!BF12)/Datos!BF12," - ")</f>
        <v>-0.35788559278083182</v>
      </c>
      <c r="K12" s="351">
        <f>IF(ISNUMBER((Tasas!E12-Datos!BG12)/Datos!BG12),(Tasas!E12-Datos!BG12)/Datos!BG12," - ")</f>
        <v>-1.9902110962376259E-2</v>
      </c>
      <c r="M12" t="e">
        <f>IF(Monitorios="SI",Datos!CE12,0)</f>
        <v>#REF!</v>
      </c>
      <c r="N12" t="e">
        <f>IF(Monitorios="SI",Datos!CF12,0)</f>
        <v>#REF!</v>
      </c>
      <c r="O12" t="e">
        <f>IF(Monitorios="SI",Datos!CG12,0)</f>
        <v>#REF!</v>
      </c>
      <c r="P12" t="e">
        <f>IF(Monitorios="SI",Datos!CH12,0)</f>
        <v>#REF!</v>
      </c>
      <c r="Q12">
        <f>IF(J_V="SI",0,Datos!AG12)</f>
        <v>89</v>
      </c>
      <c r="R12">
        <f>IF(J_V="SI",0,Datos!AH12)</f>
        <v>297</v>
      </c>
      <c r="S12">
        <f>IF(J_V="SI",0,Datos!AI12)</f>
        <v>261</v>
      </c>
      <c r="T12">
        <f>IF(J_V="SI",0,Datos!AJ12)</f>
        <v>111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0.21279554937413073</v>
      </c>
      <c r="I13" s="357">
        <f>IF(ISNUMBER((Tasas!C13-Datos!BE13)/Datos!BE13),(Tasas!C13-Datos!BE13)/Datos!BE13," - ")</f>
        <v>-3.4314763654457417E-2</v>
      </c>
      <c r="J13" s="355">
        <f>IF(ISNUMBER((Tasas!D13-Datos!BF13)/Datos!BF13),(Tasas!D13-Datos!BF13)/Datos!BF13," - ")</f>
        <v>-0.34960798884588995</v>
      </c>
      <c r="K13" s="358">
        <f>IF(ISNUMBER((Tasas!E13-Datos!BG13)/Datos!BG13),(Tasas!E13-Datos!BG13)/Datos!BG13," - ")</f>
        <v>-1.9876211099903184E-2</v>
      </c>
      <c r="M13" t="e">
        <f>IF(Monitorios="SI",Datos!CE13,0)</f>
        <v>#REF!</v>
      </c>
      <c r="N13" t="e">
        <f>IF(Monitorios="SI",Datos!CF13,0)</f>
        <v>#REF!</v>
      </c>
      <c r="O13" t="e">
        <f>IF(Monitorios="SI",Datos!CG13,0)</f>
        <v>#REF!</v>
      </c>
      <c r="P13" t="e">
        <f>IF(Monitorios="SI",Datos!CH13,0)</f>
        <v>#REF!</v>
      </c>
      <c r="Q13">
        <f>IF(J_V="SI",0,Datos!AG13)</f>
        <v>89</v>
      </c>
      <c r="R13">
        <f>IF(J_V="SI",0,Datos!AH13)</f>
        <v>297</v>
      </c>
      <c r="S13">
        <f>IF(J_V="SI",0,Datos!AI13)</f>
        <v>261</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0.12246777163904236</v>
      </c>
      <c r="E16" s="348">
        <f>IF(ISNUMBER(
   IF(D_I="SI",(Datos!J16-Datos!T16)/Datos!T16,(Datos!J16+Datos!AD16-(Datos!T16+Datos!AL16))/(Datos!T16+Datos!AL16))
     ),IF(D_I="SI",(Datos!J16-Datos!T16)/Datos!T16,(Datos!J16+Datos!AD16-(Datos!T16+Datos!AL16))/(Datos!T16+Datos!AL16))," - ")</f>
        <v>2.4958402662229616E-2</v>
      </c>
      <c r="F16" s="348">
        <f>IF(ISNUMBER(
   IF(D_I="SI",(Datos!K16-Datos!U16)/Datos!U16,(Datos!K16+Datos!AE16-(Datos!U16+Datos!AM16))/(Datos!U16+Datos!AM16))
     ),IF(D_I="SI",(Datos!K16-Datos!U16)/Datos!U16,(Datos!K16+Datos!AE16-(Datos!U16+Datos!AM16))/(Datos!U16+Datos!AM16))," - ")</f>
        <v>1.6180436381466046E-2</v>
      </c>
      <c r="G16" s="349">
        <f>IF(ISNUMBER(
   IF(D_I="SI",(Datos!L16-Datos!V16)/Datos!V16,(Datos!L16+Datos!AF16-(Datos!V16+Datos!AN16))/(Datos!V16+Datos!AN16))
     ),IF(D_I="SI",(Datos!L16-Datos!V16)/Datos!V16,(Datos!L16+Datos!AF16-(Datos!V16+Datos!AN16))/(Datos!V16+Datos!AN16))," - ")</f>
        <v>0.14273995077932733</v>
      </c>
      <c r="H16" s="230">
        <f>IF(ISNUMBER((Datos!M16-Datos!W16)/Datos!W16),(Datos!M16-Datos!W16)/Datos!W16," - ")</f>
        <v>3.833333333333333E-2</v>
      </c>
      <c r="I16" s="350">
        <f>IF(ISNUMBER((Tasas!C16-Datos!BE16)/Datos!BE16),(Tasas!C16-Datos!BE16)/Datos!BE16," - ")</f>
        <v>0.12454433274520543</v>
      </c>
      <c r="J16" s="349">
        <f>IF(ISNUMBER((Tasas!D16-Datos!BF16)/Datos!BF16),(Tasas!D16-Datos!BF16)/Datos!BF16," - ")</f>
        <v>2.1800160836349156E-2</v>
      </c>
      <c r="K16" s="351">
        <f>IF(ISNUMBER((Tasas!E16-Datos!BG16)/Datos!BG16),(Tasas!E16-Datos!BG16)/Datos!BG16," - ")</f>
        <v>2.8326280220342438E-2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3.7735849056603772E-2</v>
      </c>
      <c r="E17" s="348">
        <f>IF(ISNUMBER(
   IF(D_I="SI",(Datos!J17-Datos!T17)/Datos!T17,(Datos!J17+Datos!AD17-(Datos!T17+Datos!AL17))/(Datos!T17+Datos!AL17))
     ),IF(D_I="SI",(Datos!J17-Datos!T17)/Datos!T17,(Datos!J17+Datos!AD17-(Datos!T17+Datos!AL17))/(Datos!T17+Datos!AL17))," - ")</f>
        <v>-8.9552238805970144E-2</v>
      </c>
      <c r="F17" s="348">
        <f>IF(ISNUMBER(
   IF(D_I="SI",(Datos!K17-Datos!U17)/Datos!U17,(Datos!K17+Datos!AE17-(Datos!U17+Datos!AM17))/(Datos!U17+Datos!AM17))
     ),IF(D_I="SI",(Datos!K17-Datos!U17)/Datos!U17,(Datos!K17+Datos!AE17-(Datos!U17+Datos!AM17))/(Datos!U17+Datos!AM17))," - ")</f>
        <v>-6.0422960725075532E-2</v>
      </c>
      <c r="G17" s="349">
        <f>IF(ISNUMBER(
   IF(D_I="SI",(Datos!L17-Datos!V17)/Datos!V17,(Datos!L17+Datos!AF17-(Datos!V17+Datos!AN17))/(Datos!V17+Datos!AN17))
     ),IF(D_I="SI",(Datos!L17-Datos!V17)/Datos!V17,(Datos!L17+Datos!AF17-(Datos!V17+Datos!AN17))/(Datos!V17+Datos!AN17))," - ")</f>
        <v>-5.4545454545454543E-2</v>
      </c>
      <c r="H17" s="230">
        <f>IF(ISNUMBER((Datos!M17-Datos!W17)/Datos!W17),(Datos!M17-Datos!W17)/Datos!W17," - ")</f>
        <v>0</v>
      </c>
      <c r="I17" s="350">
        <f>IF(ISNUMBER((Tasas!C17-Datos!BE17)/Datos!BE17),(Tasas!C17-Datos!BE17)/Datos!BE17," - ")</f>
        <v>6.2554808535515358E-3</v>
      </c>
      <c r="J17" s="349">
        <f>IF(ISNUMBER((Tasas!D17-Datos!BF17)/Datos!BF17),(Tasas!D17-Datos!BF17)/Datos!BF17," - ")</f>
        <v>6.430868167202565E-2</v>
      </c>
      <c r="K17" s="351">
        <f>IF(ISNUMBER((Tasas!E17-Datos!BG17)/Datos!BG17),(Tasas!E17-Datos!BG17)/Datos!BG17," - ")</f>
        <v>1.5603240224279042E-3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0.11493288590604027</v>
      </c>
      <c r="E18" s="354">
        <f>IF(ISNUMBER(
   IF(D_I="SI",(Datos!J18-Datos!T18)/Datos!T18,(Datos!J18+Datos!AD18-(Datos!T18+Datos!AL18))/(Datos!T18+Datos!AL18))
     ),IF(D_I="SI",(Datos!J18-Datos!T18)/Datos!T18,(Datos!J18+Datos!AD18-(Datos!T18+Datos!AL18))/(Datos!T18+Datos!AL18))," - ")</f>
        <v>1.6512549537648614E-2</v>
      </c>
      <c r="F18" s="354">
        <f>IF(ISNUMBER(
   IF(D_I="SI",(Datos!K18-Datos!U18)/Datos!U18,(Datos!K18+Datos!AE18-(Datos!U18+Datos!AM18))/(Datos!U18+Datos!AM18))
     ),IF(D_I="SI",(Datos!K18-Datos!U18)/Datos!U18,(Datos!K18+Datos!AE18-(Datos!U18+Datos!AM18))/(Datos!U18+Datos!AM18))," - ")</f>
        <v>1.0430839002267574E-2</v>
      </c>
      <c r="G18" s="355">
        <f>IF(ISNUMBER(
   IF(D_I="SI",(Datos!L18-Datos!V18)/Datos!V18,(Datos!L18+Datos!AF18-(Datos!V18+Datos!AN18))/(Datos!V18+Datos!AN18))
     ),IF(D_I="SI",(Datos!L18-Datos!V18)/Datos!V18,(Datos!L18+Datos!AF18-(Datos!V18+Datos!AN18))/(Datos!V18+Datos!AN18))," - ")</f>
        <v>0.12641083521444696</v>
      </c>
      <c r="H18" s="356">
        <f>IF(ISNUMBER((Datos!M18-Datos!W18)/Datos!W18),(Datos!M18-Datos!W18)/Datos!W18," - ")</f>
        <v>3.5993740219092331E-2</v>
      </c>
      <c r="I18" s="357">
        <f>IF(ISNUMBER((Tasas!C18-Datos!BE18)/Datos!BE18),(Tasas!C18-Datos!BE18)/Datos!BE18," - ")</f>
        <v>0.11478271617946829</v>
      </c>
      <c r="J18" s="355">
        <f>IF(ISNUMBER((Tasas!D18-Datos!BF18)/Datos!BF18),(Tasas!D18-Datos!BF18)/Datos!BF18," - ")</f>
        <v>2.5299011303006561E-2</v>
      </c>
      <c r="K18" s="358">
        <f>IF(ISNUMBER((Tasas!E18-Datos!BG18)/Datos!BG18),(Tasas!E18-Datos!BG18)/Datos!BG18," - ")</f>
        <v>2.6267612821940241E-2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0.19376026272577998</v>
      </c>
      <c r="E19" s="363">
        <f>IF(ISNUMBER(
   IF(J_V="SI",(Datos!J19-Datos!T19)/Datos!T19,(Datos!J19+Datos!Z19-(Datos!T19+Datos!AH19))/(Datos!T19+Datos!AH19))
     ),IF(J_V="SI",(Datos!J19-Datos!T19)/Datos!T19,(Datos!J19+Datos!Z19-(Datos!T19+Datos!AH19))/(Datos!T19+Datos!AH19))," - ")</f>
        <v>-2.1465666474321986E-2</v>
      </c>
      <c r="F19" s="363">
        <f>IF(ISNUMBER(
   IF(J_V="SI",(Datos!K19-Datos!U19)/Datos!U19,(Datos!K19+Datos!AA19-(Datos!U19+Datos!AI19))/(Datos!U19+Datos!AI19))
     ),IF(J_V="SI",(Datos!K19-Datos!U19)/Datos!U19,(Datos!K19+Datos!AA19-(Datos!U19+Datos!AI19))/(Datos!U19+Datos!AI19))," - ")</f>
        <v>3.6155202821869487E-2</v>
      </c>
      <c r="G19" s="364">
        <f>IF(ISNUMBER(
   IF(J_V="SI",(Datos!L19-Datos!V19)/Datos!V19,(Datos!L19+Datos!AB19-(Datos!V19+Datos!AJ19))/(Datos!V19+Datos!AJ19))
     ),IF(J_V="SI",(Datos!L19-Datos!V19)/Datos!V19,(Datos!L19+Datos!AB19-(Datos!V19+Datos!AJ19))/(Datos!V19+Datos!AJ19))," - ")</f>
        <v>6.0522696011004129E-2</v>
      </c>
      <c r="H19" s="365">
        <f>IF(ISNUMBER((Datos!M19-Datos!W19)/Datos!W19),(Datos!M19-Datos!W19)/Datos!W19," - ")</f>
        <v>0.12960235640648013</v>
      </c>
      <c r="I19" s="362">
        <f>IF(ISNUMBER((Tasas!C19-Datos!BE19)/Datos!BE19),(Tasas!C19-Datos!BE19)/Datos!BE19," - ")</f>
        <v>2.3517223214024437E-2</v>
      </c>
      <c r="J19" s="363">
        <f>IF(ISNUMBER((Tasas!D19-Datos!BF19)/Datos!BF19),(Tasas!D19-Datos!BF19)/Datos!BF19," - ")</f>
        <v>-0.21833516816823567</v>
      </c>
      <c r="K19" s="364">
        <f>IF(ISNUMBER((Tasas!E19-Datos!BG19)/Datos!BG19),(Tasas!E19-Datos!BG19)/Datos!BG19," - ")</f>
        <v>6.0013851635513094E-3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0.20770392926012077</v>
      </c>
      <c r="E21" s="278">
        <f t="shared" si="1"/>
        <v>8.8969633453951188E-2</v>
      </c>
      <c r="F21" s="278">
        <f t="shared" si="1"/>
        <v>0.16995783922937435</v>
      </c>
      <c r="G21" s="279">
        <f t="shared" si="1"/>
        <v>0.11372645881638022</v>
      </c>
      <c r="H21" s="285">
        <f t="shared" si="1"/>
        <v>0.19966122916241344</v>
      </c>
      <c r="I21" s="277">
        <f t="shared" si="1"/>
        <v>8.5376494226327801E-2</v>
      </c>
      <c r="J21" s="278">
        <f t="shared" si="1"/>
        <v>0.22344190122252869</v>
      </c>
      <c r="K21" s="279">
        <f t="shared" si="1"/>
        <v>2.8824684897162525E-2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RRBH7pJrRTdoFhok7YZrtEH6HXXRoq5Q86xLiZ2TFQ0v1It8lXkLF2SqIMgwsNDZkaGjI+bnCVnDdR2dLojQ==" saltValue="Qexe4qPD32KVM08oq7e+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